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st\Documents\Phildata\FLYING\FMFA Inc\POH W&amp;B checklist\"/>
    </mc:Choice>
  </mc:AlternateContent>
  <bookViews>
    <workbookView xWindow="0" yWindow="0" windowWidth="28800" windowHeight="12435" tabRatio="943" activeTab="3"/>
  </bookViews>
  <sheets>
    <sheet name="Wgt_N_Wind_Data" sheetId="1" r:id="rId1"/>
    <sheet name="N780FM" sheetId="15" r:id="rId2"/>
    <sheet name="N31669" sheetId="11" r:id="rId3"/>
    <sheet name="N2846N" sheetId="23" r:id="rId4"/>
    <sheet name="N3037E" sheetId="21" r:id="rId5"/>
    <sheet name="N782FM" sheetId="17" r:id="rId6"/>
    <sheet name="N783FM" sheetId="18" r:id="rId7"/>
    <sheet name="N4846G" sheetId="22" r:id="rId8"/>
    <sheet name="N63532" sheetId="19" r:id="rId9"/>
    <sheet name="N6690S" sheetId="20" r:id="rId10"/>
  </sheets>
  <definedNames>
    <definedName name="_xlnm.Print_Area" localSheetId="3">N2846N!$A$1:$N$29</definedName>
    <definedName name="_xlnm.Print_Area" localSheetId="4">N3037E!$A$1:$N$29</definedName>
    <definedName name="_xlnm.Print_Area" localSheetId="2">'N31669'!$A$1:$N$29</definedName>
    <definedName name="_xlnm.Print_Area" localSheetId="1">N780FM!#REF!</definedName>
    <definedName name="_xlnm.Print_Area" localSheetId="0">Wgt_N_Wind_Data!$A$1:$E$21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13" i="1" l="1"/>
  <c r="D12" i="1"/>
  <c r="D11" i="1"/>
  <c r="D10" i="1"/>
  <c r="C25" i="23"/>
  <c r="C24" i="23"/>
  <c r="C23" i="23"/>
  <c r="E21" i="23"/>
  <c r="E20" i="23"/>
  <c r="E19" i="23"/>
  <c r="E18" i="23"/>
  <c r="E17" i="23"/>
  <c r="E25" i="23" s="1"/>
  <c r="E16" i="23"/>
  <c r="E23" i="23" s="1"/>
  <c r="C16" i="23"/>
  <c r="D15" i="23"/>
  <c r="C8" i="23"/>
  <c r="F7" i="23"/>
  <c r="C7" i="23"/>
  <c r="F6" i="23"/>
  <c r="C6" i="23"/>
  <c r="F5" i="23"/>
  <c r="C5" i="23"/>
  <c r="F4" i="23"/>
  <c r="C4" i="23"/>
  <c r="D23" i="23" l="1"/>
  <c r="D25" i="23"/>
  <c r="E24" i="23"/>
  <c r="D24" i="23" s="1"/>
  <c r="J21" i="1"/>
  <c r="J13" i="1"/>
  <c r="H21" i="1" l="1"/>
  <c r="H13" i="1"/>
  <c r="H10" i="1"/>
  <c r="H12" i="1" s="1"/>
  <c r="C26" i="22"/>
  <c r="E22" i="22"/>
  <c r="E21" i="22"/>
  <c r="E20" i="22"/>
  <c r="E19" i="22"/>
  <c r="E18" i="22"/>
  <c r="E17" i="22"/>
  <c r="C16" i="22"/>
  <c r="C24" i="22" s="1"/>
  <c r="D15" i="22"/>
  <c r="H11" i="1" s="1"/>
  <c r="E8" i="22"/>
  <c r="E5" i="22"/>
  <c r="B5" i="22"/>
  <c r="E4" i="22"/>
  <c r="B4" i="22"/>
  <c r="A1" i="22"/>
  <c r="E21" i="1"/>
  <c r="E13" i="1"/>
  <c r="E10" i="1"/>
  <c r="E12" i="1" s="1"/>
  <c r="D15" i="21"/>
  <c r="E11" i="1" s="1"/>
  <c r="C25" i="21"/>
  <c r="E21" i="21"/>
  <c r="E20" i="21"/>
  <c r="E19" i="21"/>
  <c r="E18" i="21"/>
  <c r="E17" i="21"/>
  <c r="E25" i="21" s="1"/>
  <c r="C16" i="21"/>
  <c r="F8" i="21"/>
  <c r="C8" i="21"/>
  <c r="F7" i="21"/>
  <c r="C7" i="21"/>
  <c r="F6" i="21"/>
  <c r="C6" i="21"/>
  <c r="F5" i="21"/>
  <c r="C5" i="21"/>
  <c r="F4" i="21"/>
  <c r="C4" i="21"/>
  <c r="A1" i="21"/>
  <c r="C23" i="21" l="1"/>
  <c r="C24" i="21"/>
  <c r="E26" i="22"/>
  <c r="D26" i="22" s="1"/>
  <c r="C25" i="22"/>
  <c r="E16" i="22"/>
  <c r="E24" i="22" s="1"/>
  <c r="D24" i="22" s="1"/>
  <c r="E25" i="22"/>
  <c r="D25" i="22" s="1"/>
  <c r="D25" i="21"/>
  <c r="E16" i="21"/>
  <c r="E23" i="21" s="1"/>
  <c r="D23" i="21" s="1"/>
  <c r="E24" i="21"/>
  <c r="D24" i="21" s="1"/>
  <c r="I4" i="1"/>
  <c r="J4" i="1"/>
  <c r="I6" i="1" l="1"/>
  <c r="J6" i="1"/>
  <c r="I7" i="1"/>
  <c r="J10" i="1"/>
  <c r="J12" i="1" s="1"/>
  <c r="J7" i="1"/>
  <c r="D15" i="20"/>
  <c r="J11" i="1" s="1"/>
  <c r="A1" i="20"/>
  <c r="C25" i="20"/>
  <c r="E21" i="20"/>
  <c r="E20" i="20"/>
  <c r="E19" i="20"/>
  <c r="E18" i="20"/>
  <c r="E17" i="20"/>
  <c r="C16" i="20"/>
  <c r="E24" i="20"/>
  <c r="E9" i="20"/>
  <c r="E8" i="20"/>
  <c r="E7" i="20"/>
  <c r="E6" i="20"/>
  <c r="E5" i="20"/>
  <c r="E4" i="20"/>
  <c r="C24" i="20" l="1"/>
  <c r="C23" i="20"/>
  <c r="D24" i="20"/>
  <c r="E25" i="20"/>
  <c r="D25" i="20" s="1"/>
  <c r="E16" i="20"/>
  <c r="E23" i="20"/>
  <c r="D23" i="20" s="1"/>
  <c r="E15" i="19"/>
  <c r="I21" i="1" l="1"/>
  <c r="G21" i="1"/>
  <c r="F21" i="1"/>
  <c r="C21" i="1"/>
  <c r="B21" i="1"/>
  <c r="I13" i="1"/>
  <c r="G13" i="1"/>
  <c r="F13" i="1"/>
  <c r="C13" i="1"/>
  <c r="B13" i="1"/>
  <c r="D15" i="11"/>
  <c r="C11" i="1" s="1"/>
  <c r="D15" i="18"/>
  <c r="G11" i="1" s="1"/>
  <c r="D15" i="17"/>
  <c r="F11" i="1" s="1"/>
  <c r="D15" i="15" l="1"/>
  <c r="B11" i="1" s="1"/>
  <c r="I11" i="1" l="1"/>
  <c r="E9" i="19" l="1"/>
  <c r="E8" i="19"/>
  <c r="E7" i="19"/>
  <c r="E6" i="19"/>
  <c r="E5" i="19"/>
  <c r="E4" i="19"/>
  <c r="I10" i="1"/>
  <c r="I12" i="1" s="1"/>
  <c r="G10" i="1"/>
  <c r="G12" i="1" s="1"/>
  <c r="F10" i="1"/>
  <c r="F12" i="1" s="1"/>
  <c r="C10" i="1"/>
  <c r="C12" i="1" s="1"/>
  <c r="B10" i="1"/>
  <c r="B12" i="1" s="1"/>
  <c r="C25" i="19" l="1"/>
  <c r="E21" i="19"/>
  <c r="E20" i="19"/>
  <c r="E19" i="19"/>
  <c r="E18" i="19"/>
  <c r="E17" i="19"/>
  <c r="C16" i="19"/>
  <c r="E16" i="19" s="1"/>
  <c r="A1" i="19"/>
  <c r="E23" i="19" l="1"/>
  <c r="C24" i="19"/>
  <c r="E25" i="19"/>
  <c r="D25" i="19" s="1"/>
  <c r="E24" i="19"/>
  <c r="C23" i="19"/>
  <c r="D24" i="19" l="1"/>
  <c r="D23" i="19"/>
  <c r="C26" i="15" l="1"/>
  <c r="E21" i="15"/>
  <c r="E20" i="15"/>
  <c r="E19" i="15"/>
  <c r="E18" i="15"/>
  <c r="E17" i="15"/>
  <c r="C16" i="15"/>
  <c r="C8" i="15"/>
  <c r="C7" i="15"/>
  <c r="C6" i="15"/>
  <c r="C5" i="15"/>
  <c r="C4" i="15"/>
  <c r="A1" i="15"/>
  <c r="C26" i="17"/>
  <c r="E22" i="17"/>
  <c r="E21" i="17"/>
  <c r="E20" i="17"/>
  <c r="E19" i="17"/>
  <c r="E18" i="17"/>
  <c r="E17" i="17"/>
  <c r="C16" i="17"/>
  <c r="C25" i="17" s="1"/>
  <c r="E8" i="17"/>
  <c r="E5" i="17"/>
  <c r="B5" i="17"/>
  <c r="E4" i="17"/>
  <c r="B4" i="17"/>
  <c r="A1" i="17"/>
  <c r="C26" i="18"/>
  <c r="E22" i="18"/>
  <c r="E21" i="18"/>
  <c r="E20" i="18"/>
  <c r="E19" i="18"/>
  <c r="E18" i="18"/>
  <c r="E17" i="18"/>
  <c r="C16" i="18"/>
  <c r="C25" i="18" s="1"/>
  <c r="E8" i="18"/>
  <c r="E5" i="18"/>
  <c r="B5" i="18"/>
  <c r="E4" i="18"/>
  <c r="B4" i="18"/>
  <c r="A1" i="18"/>
  <c r="E25" i="17" l="1"/>
  <c r="E25" i="15"/>
  <c r="C23" i="15"/>
  <c r="C25" i="15"/>
  <c r="E25" i="18"/>
  <c r="D25" i="18" s="1"/>
  <c r="E16" i="15"/>
  <c r="E23" i="15" s="1"/>
  <c r="D23" i="15" s="1"/>
  <c r="E26" i="15"/>
  <c r="D26" i="15" s="1"/>
  <c r="D25" i="17"/>
  <c r="C24" i="17"/>
  <c r="E26" i="17"/>
  <c r="D26" i="17" s="1"/>
  <c r="E16" i="17"/>
  <c r="E24" i="17" s="1"/>
  <c r="D24" i="17" s="1"/>
  <c r="C24" i="18"/>
  <c r="E26" i="18"/>
  <c r="D26" i="18" s="1"/>
  <c r="E16" i="18"/>
  <c r="E24" i="18" s="1"/>
  <c r="D25" i="15" l="1"/>
  <c r="D24" i="18"/>
  <c r="C25" i="11"/>
  <c r="F8" i="11"/>
  <c r="F7" i="11"/>
  <c r="F6" i="11"/>
  <c r="F5" i="11"/>
  <c r="F4" i="11"/>
  <c r="C8" i="11"/>
  <c r="C7" i="11"/>
  <c r="C6" i="11"/>
  <c r="C5" i="11"/>
  <c r="C4" i="11"/>
  <c r="E21" i="11"/>
  <c r="E20" i="11"/>
  <c r="E19" i="11"/>
  <c r="E18" i="11"/>
  <c r="E17" i="11"/>
  <c r="C16" i="11"/>
  <c r="C23" i="11" s="1"/>
  <c r="A1" i="11"/>
  <c r="E24" i="11" l="1"/>
  <c r="E25" i="11"/>
  <c r="D25" i="11" s="1"/>
  <c r="C24" i="11"/>
  <c r="E16" i="11"/>
  <c r="E23" i="11" s="1"/>
  <c r="D23" i="11" s="1"/>
  <c r="D24" i="11" l="1"/>
</calcChain>
</file>

<file path=xl/sharedStrings.xml><?xml version="1.0" encoding="utf-8"?>
<sst xmlns="http://schemas.openxmlformats.org/spreadsheetml/2006/main" count="479" uniqueCount="131">
  <si>
    <t>FAA Tail Number</t>
  </si>
  <si>
    <t>N780FM</t>
  </si>
  <si>
    <t>N31669</t>
  </si>
  <si>
    <t>N3037E</t>
  </si>
  <si>
    <t>N782FM</t>
  </si>
  <si>
    <t>N783FM</t>
  </si>
  <si>
    <t>N4846G</t>
  </si>
  <si>
    <t>N63532</t>
  </si>
  <si>
    <t>N6690S</t>
  </si>
  <si>
    <t>Flt Plan Designator</t>
  </si>
  <si>
    <t>P28R</t>
  </si>
  <si>
    <t>P28A</t>
  </si>
  <si>
    <t>C172</t>
  </si>
  <si>
    <t>C150</t>
  </si>
  <si>
    <t>Make &amp; Model</t>
  </si>
  <si>
    <t>PA-28R-201</t>
  </si>
  <si>
    <t>PA-28-161</t>
  </si>
  <si>
    <t>Cessna 172P-180</t>
  </si>
  <si>
    <t>Cessna 172P-160</t>
  </si>
  <si>
    <t>Cessna 172N-160</t>
  </si>
  <si>
    <t>Name of Model</t>
  </si>
  <si>
    <t>Piper Arrow III</t>
  </si>
  <si>
    <t>Piper Warrior II</t>
  </si>
  <si>
    <t>Cessna Skyhawk</t>
  </si>
  <si>
    <t>Cessna Commuter</t>
  </si>
  <si>
    <t>Year of Manufacture</t>
  </si>
  <si>
    <t>Color</t>
  </si>
  <si>
    <t>W/B/R</t>
  </si>
  <si>
    <t>W/BK</t>
  </si>
  <si>
    <t>W/B</t>
  </si>
  <si>
    <t>W/O/BR</t>
  </si>
  <si>
    <t>ICAO Aircraft &amp; Surveillance Equipment Codes</t>
  </si>
  <si>
    <t>SBG &amp; EB2</t>
  </si>
  <si>
    <t>Maximum Gross Wgt (lbs)</t>
  </si>
  <si>
    <t>Basic Empty Weight (lbs) (BEW)</t>
  </si>
  <si>
    <t>BEW Arm (in)</t>
  </si>
  <si>
    <t>Useful Load Normal Cat (lbs)</t>
  </si>
  <si>
    <t>BEW Moment (in-lbs)</t>
  </si>
  <si>
    <t>Max Engine Power (HP)</t>
  </si>
  <si>
    <t>Useable Fuel (gal)</t>
  </si>
  <si>
    <t>Pilot Max Sfc Wind (kts)</t>
  </si>
  <si>
    <t>§§ Student Max sfc Wind (kts)</t>
  </si>
  <si>
    <t>N/A**</t>
  </si>
  <si>
    <t>Pilot Max Sfc Xwind (kts)</t>
  </si>
  <si>
    <t>§§ Student Max sfc XWind (kts)</t>
  </si>
  <si>
    <t>Number of Seats</t>
  </si>
  <si>
    <t>Date of Last Wgt &amp; Bal Revision</t>
  </si>
  <si>
    <t>**Student pilots are not allowed to fly the Arrow.</t>
  </si>
  <si>
    <t xml:space="preserve"> </t>
  </si>
  <si>
    <t>FT MEADE FLIGHT ACTIVITY, INC.</t>
  </si>
  <si>
    <t>Normal</t>
  </si>
  <si>
    <t>Utility NA</t>
  </si>
  <si>
    <t>Weight</t>
  </si>
  <si>
    <t>Arm</t>
  </si>
  <si>
    <t>Moment</t>
  </si>
  <si>
    <t>FAA Tail No.</t>
  </si>
  <si>
    <t>Flight Plan Designator</t>
  </si>
  <si>
    <t>Useable Fuel</t>
  </si>
  <si>
    <t>gal</t>
  </si>
  <si>
    <t>Make/ Model</t>
  </si>
  <si>
    <t>Piper        PA-28R-201</t>
  </si>
  <si>
    <t>‡‡</t>
  </si>
  <si>
    <t>Basic Empty</t>
  </si>
  <si>
    <t>Fuel (gal)</t>
  </si>
  <si>
    <t>Pilot</t>
  </si>
  <si>
    <t>Copilot</t>
  </si>
  <si>
    <t>Passenger 1</t>
  </si>
  <si>
    <t>Passenger 2</t>
  </si>
  <si>
    <t xml:space="preserve">Baggage </t>
  </si>
  <si>
    <t>Ramp</t>
  </si>
  <si>
    <t>Gear Retraction Moment</t>
  </si>
  <si>
    <t>Takeoff</t>
  </si>
  <si>
    <t>No Fuel</t>
  </si>
  <si>
    <t>Notes: Source -- PA-28R-201 (Piper Arrow) POH dtd 7/12/95</t>
  </si>
  <si>
    <t>1. BEW includes Unusable Gas of 5 gallons</t>
  </si>
  <si>
    <t>2. Total Fuel Volume is 77 gallons</t>
  </si>
  <si>
    <t xml:space="preserve">3. Usable Fuel all flight conditions is 72 gallons (36 usable gallons in each wing tank) </t>
  </si>
  <si>
    <t>4. Aircraft Not Approved for Utility Operations (Spins Prohibited)</t>
  </si>
  <si>
    <t>5. Maximum Baggage Capacity = 200 lbs</t>
  </si>
  <si>
    <t>6. Total Fuel to Tabs is 55 gallons with 50 gallons usable (25 gallons usable per side)</t>
  </si>
  <si>
    <t xml:space="preserve">7. FMFA Private Pilot Student Pilot Flight Operations Prohibited </t>
  </si>
  <si>
    <t>Utility</t>
  </si>
  <si>
    <t>Piper      PA-28-161</t>
  </si>
  <si>
    <t>Basic Empty Wgt</t>
  </si>
  <si>
    <t>Fuel (Gal):</t>
  </si>
  <si>
    <t>Baggage</t>
  </si>
  <si>
    <t>Notes: Source -- PA-28-161 (Piper Warrior II) Manual dtd 12/16/76, revised 4/17/89</t>
  </si>
  <si>
    <t>1. BEW includes Unusable Gas of 2 gallons</t>
  </si>
  <si>
    <t>2. Total Fuel Volume is 50 gallons</t>
  </si>
  <si>
    <t xml:space="preserve">3. Usable Fuel all flight conditions is 48 gallons </t>
  </si>
  <si>
    <t>4. Rear Passengers and Baggage Prohibited for Utility Operations</t>
  </si>
  <si>
    <t>6. Total Fuel to Tabs is 34 gallons with 32 gallons usable (16 gallons usable per side)</t>
  </si>
  <si>
    <t>W/BR</t>
  </si>
  <si>
    <t>Baggage 1</t>
  </si>
  <si>
    <t>Baggage 2</t>
  </si>
  <si>
    <t>Notes: Source -- 1982 Cessna Model 172P AFM dtd 5/12/1981, Air Plains AFM Supplement dtd 2/3/2012</t>
  </si>
  <si>
    <t>1. MGW for Normal Operation is 2550 lbs. and for Utility Operation is 2100 lbs.</t>
  </si>
  <si>
    <t>1. BEW includes Unusable Gas of 3 gallons</t>
  </si>
  <si>
    <t>2. Total Fuel Volume is 43 gallons</t>
  </si>
  <si>
    <t xml:space="preserve">3. Usable Fuel all flight conditions is 40 gallons </t>
  </si>
  <si>
    <t>4. Maximum Baggage Area 1 = 120 lbs</t>
  </si>
  <si>
    <t>5. Maximum Baggage Area 2 = 50 lbs</t>
  </si>
  <si>
    <t>This is not up-to-date.</t>
  </si>
  <si>
    <t>Notes: Source -- 1982 Cessna Model 172P AFM dtd 5/12/1981</t>
  </si>
  <si>
    <t>1. MGW for Normal Operation is 2400 lbs. and for Utility Operation is 2100 lbs.</t>
  </si>
  <si>
    <t>1. BEW includes Unusable Gas of 4 gallons</t>
  </si>
  <si>
    <t>2. Total Fuel Volume is 54 gallons</t>
  </si>
  <si>
    <t xml:space="preserve">3. Usable Fuel all flight conditions is 50 gallons </t>
  </si>
  <si>
    <t>Notes: Source -- 1979 Cessna Model 172N AFM dtd 07/01/1978</t>
  </si>
  <si>
    <t>Normal NA</t>
  </si>
  <si>
    <t>Utility Only</t>
  </si>
  <si>
    <t>W/R</t>
  </si>
  <si>
    <t>Cessna 150M</t>
  </si>
  <si>
    <t>Oil</t>
  </si>
  <si>
    <t>Baggage - Area 1</t>
  </si>
  <si>
    <t>Baggage - Area 2</t>
  </si>
  <si>
    <t>Notes: Source -- 1975 Cessna Model 150M Manual certificated under FAA Type Certificate # 3A19</t>
  </si>
  <si>
    <t>1. BEW includes Unusable Gas of 3.5 gallons</t>
  </si>
  <si>
    <t>2. Total Fuel Volume is 26 gallons</t>
  </si>
  <si>
    <t xml:space="preserve">3. Usable Fuel all flight conditions is 22.5 gallons </t>
  </si>
  <si>
    <t>5. Maximum Baggage Area 2 = 40 lbs</t>
  </si>
  <si>
    <t>Cessna 150H</t>
  </si>
  <si>
    <t>1. MGW for Normal Operation is 2300 lbs. and for Utility Operation is 2100 lbs.</t>
  </si>
  <si>
    <t>N2846N</t>
  </si>
  <si>
    <t>PA-28-181</t>
  </si>
  <si>
    <t>Piper Archer II</t>
  </si>
  <si>
    <t>W/B/GY</t>
  </si>
  <si>
    <t>Piper      PA-28-181</t>
  </si>
  <si>
    <t>N2846N Center of Gravity Limits</t>
  </si>
  <si>
    <t>Notes: Source -- PA-28-181 (Piper Archer II) POH 18Jun1976</t>
  </si>
  <si>
    <t>FT MEADE FLIGHT ACTIVITY, INC. Weight &amp; Balance &amp; Surface Wind Information   12-March-2025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</si>
</sst>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\-??_);_(@_)"/>
    <numFmt numFmtId="165" formatCode="_(* #,##0_);_(* \(#,##0\);_(* \-??_);_(@_)"/>
    <numFmt numFmtId="166" formatCode="0.0"/>
    <numFmt numFmtId="167" formatCode="mmmm\ d&quot;, &quot;yyyy;@"/>
    <numFmt numFmtId="168" formatCode="0.000"/>
    <numFmt numFmtId="169" formatCode="[$-409]d\-mmm\-yyyy;@"/>
    <numFmt numFmtId="170" formatCode="#,##0.0_);\(#,##0.0\)"/>
  </numFmts>
  <fonts count="9">
    <font>
      <sz val="10"/>
      <name val="Lohit Hind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Lohit Hindi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9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10"/>
      </right>
      <top/>
      <bottom style="medium">
        <color indexed="64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rgb="FFFF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ck">
        <color indexed="10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40">
    <xf numFmtId="0" fontId="1" fillId="0" borderId="0" xfId="0" applyFont="1"/>
    <xf numFmtId="165" fontId="1" fillId="0" borderId="0" xfId="1" applyNumberFormat="1" applyFont="1" applyFill="1" applyBorder="1" applyAlignment="1" applyProtection="1"/>
    <xf numFmtId="2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0" xfId="0" applyFont="1" applyFill="1" applyBorder="1"/>
    <xf numFmtId="0" fontId="1" fillId="4" borderId="0" xfId="0" applyFont="1" applyFill="1"/>
    <xf numFmtId="0" fontId="1" fillId="5" borderId="3" xfId="0" applyFont="1" applyFill="1" applyBorder="1"/>
    <xf numFmtId="0" fontId="1" fillId="5" borderId="4" xfId="0" applyFont="1" applyFill="1" applyBorder="1"/>
    <xf numFmtId="2" fontId="3" fillId="4" borderId="2" xfId="0" applyNumberFormat="1" applyFont="1" applyFill="1" applyBorder="1" applyProtection="1">
      <protection locked="0"/>
    </xf>
    <xf numFmtId="2" fontId="3" fillId="4" borderId="1" xfId="0" applyNumberFormat="1" applyFont="1" applyFill="1" applyBorder="1"/>
    <xf numFmtId="0" fontId="1" fillId="4" borderId="0" xfId="0" applyFont="1" applyFill="1" applyBorder="1"/>
    <xf numFmtId="165" fontId="1" fillId="4" borderId="0" xfId="1" applyNumberFormat="1" applyFont="1" applyFill="1" applyBorder="1" applyAlignment="1" applyProtection="1"/>
    <xf numFmtId="165" fontId="1" fillId="4" borderId="0" xfId="1" applyNumberFormat="1" applyFont="1" applyFill="1" applyBorder="1" applyAlignment="1" applyProtection="1">
      <alignment vertical="center"/>
    </xf>
    <xf numFmtId="165" fontId="1" fillId="0" borderId="0" xfId="1" applyNumberFormat="1" applyFont="1" applyFill="1" applyBorder="1" applyAlignment="1" applyProtection="1">
      <alignment vertical="center"/>
    </xf>
    <xf numFmtId="0" fontId="5" fillId="4" borderId="5" xfId="0" applyFont="1" applyFill="1" applyBorder="1"/>
    <xf numFmtId="165" fontId="1" fillId="4" borderId="0" xfId="1" applyNumberFormat="1" applyFont="1" applyFill="1" applyBorder="1" applyAlignment="1" applyProtection="1">
      <alignment horizontal="justify" vertical="center"/>
    </xf>
    <xf numFmtId="165" fontId="1" fillId="0" borderId="0" xfId="1" applyNumberFormat="1" applyFont="1" applyFill="1" applyBorder="1" applyAlignment="1" applyProtection="1">
      <alignment horizontal="justify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justify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4" borderId="1" xfId="0" applyNumberFormat="1" applyFont="1" applyFill="1" applyBorder="1" applyProtection="1">
      <protection locked="0"/>
    </xf>
    <xf numFmtId="168" fontId="3" fillId="3" borderId="1" xfId="0" applyNumberFormat="1" applyFont="1" applyFill="1" applyBorder="1" applyAlignment="1">
      <alignment horizontal="center"/>
    </xf>
    <xf numFmtId="0" fontId="1" fillId="5" borderId="5" xfId="0" applyFont="1" applyFill="1" applyBorder="1"/>
    <xf numFmtId="0" fontId="5" fillId="0" borderId="1" xfId="0" applyFont="1" applyBorder="1" applyAlignment="1">
      <alignment horizontal="center"/>
    </xf>
    <xf numFmtId="0" fontId="1" fillId="4" borderId="9" xfId="0" applyFont="1" applyFill="1" applyBorder="1"/>
    <xf numFmtId="166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Protection="1"/>
    <xf numFmtId="165" fontId="1" fillId="4" borderId="0" xfId="1" applyNumberFormat="1" applyFont="1" applyFill="1" applyBorder="1" applyAlignment="1" applyProtection="1">
      <alignment vertical="center"/>
      <protection hidden="1"/>
    </xf>
    <xf numFmtId="165" fontId="1" fillId="0" borderId="0" xfId="1" applyNumberFormat="1" applyFont="1" applyFill="1" applyBorder="1" applyAlignment="1" applyProtection="1">
      <alignment vertical="center"/>
      <protection hidden="1"/>
    </xf>
    <xf numFmtId="166" fontId="3" fillId="0" borderId="1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/>
    </xf>
    <xf numFmtId="0" fontId="1" fillId="4" borderId="12" xfId="0" applyFont="1" applyFill="1" applyBorder="1"/>
    <xf numFmtId="168" fontId="3" fillId="4" borderId="13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Protection="1"/>
    <xf numFmtId="166" fontId="3" fillId="0" borderId="15" xfId="0" applyNumberFormat="1" applyFont="1" applyFill="1" applyBorder="1" applyAlignment="1">
      <alignment horizontal="center" vertical="center"/>
    </xf>
    <xf numFmtId="2" fontId="3" fillId="4" borderId="14" xfId="0" applyNumberFormat="1" applyFont="1" applyFill="1" applyBorder="1" applyProtection="1"/>
    <xf numFmtId="0" fontId="1" fillId="4" borderId="17" xfId="0" applyFont="1" applyFill="1" applyBorder="1"/>
    <xf numFmtId="0" fontId="3" fillId="3" borderId="18" xfId="0" applyFont="1" applyFill="1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/>
    <xf numFmtId="0" fontId="3" fillId="6" borderId="21" xfId="0" applyFont="1" applyFill="1" applyBorder="1"/>
    <xf numFmtId="166" fontId="3" fillId="6" borderId="22" xfId="0" applyNumberFormat="1" applyFont="1" applyFill="1" applyBorder="1" applyAlignment="1">
      <alignment horizontal="center"/>
    </xf>
    <xf numFmtId="0" fontId="3" fillId="6" borderId="23" xfId="0" applyFont="1" applyFill="1" applyBorder="1"/>
    <xf numFmtId="0" fontId="3" fillId="6" borderId="24" xfId="0" applyFont="1" applyFill="1" applyBorder="1" applyAlignment="1">
      <alignment horizontal="center"/>
    </xf>
    <xf numFmtId="166" fontId="3" fillId="6" borderId="24" xfId="0" applyNumberFormat="1" applyFont="1" applyFill="1" applyBorder="1" applyAlignment="1">
      <alignment horizontal="center"/>
    </xf>
    <xf numFmtId="0" fontId="1" fillId="4" borderId="25" xfId="0" applyFont="1" applyFill="1" applyBorder="1"/>
    <xf numFmtId="0" fontId="3" fillId="2" borderId="26" xfId="0" applyFont="1" applyFill="1" applyBorder="1" applyAlignment="1">
      <alignment horizontal="center"/>
    </xf>
    <xf numFmtId="0" fontId="1" fillId="5" borderId="27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166" fontId="3" fillId="2" borderId="28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" fillId="5" borderId="29" xfId="0" applyFont="1" applyFill="1" applyBorder="1"/>
    <xf numFmtId="0" fontId="5" fillId="4" borderId="0" xfId="0" applyFont="1" applyFill="1" applyBorder="1" applyAlignment="1">
      <alignment horizontal="center"/>
    </xf>
    <xf numFmtId="0" fontId="5" fillId="0" borderId="18" xfId="0" applyFont="1" applyBorder="1" applyAlignment="1">
      <alignment vertical="center"/>
    </xf>
    <xf numFmtId="2" fontId="3" fillId="3" borderId="30" xfId="0" applyNumberFormat="1" applyFont="1" applyFill="1" applyBorder="1" applyProtection="1">
      <protection locked="0"/>
    </xf>
    <xf numFmtId="168" fontId="3" fillId="3" borderId="30" xfId="0" applyNumberFormat="1" applyFont="1" applyFill="1" applyBorder="1" applyAlignment="1">
      <alignment horizontal="center"/>
    </xf>
    <xf numFmtId="2" fontId="3" fillId="3" borderId="30" xfId="0" applyNumberFormat="1" applyFont="1" applyFill="1" applyBorder="1"/>
    <xf numFmtId="2" fontId="1" fillId="4" borderId="0" xfId="0" applyNumberFormat="1" applyFont="1" applyFill="1" applyBorder="1"/>
    <xf numFmtId="0" fontId="5" fillId="4" borderId="18" xfId="0" applyFont="1" applyFill="1" applyBorder="1"/>
    <xf numFmtId="0" fontId="1" fillId="5" borderId="13" xfId="0" applyFont="1" applyFill="1" applyBorder="1"/>
    <xf numFmtId="0" fontId="1" fillId="4" borderId="31" xfId="0" applyFont="1" applyFill="1" applyBorder="1"/>
    <xf numFmtId="0" fontId="1" fillId="4" borderId="16" xfId="0" applyFont="1" applyFill="1" applyBorder="1"/>
    <xf numFmtId="0" fontId="5" fillId="4" borderId="0" xfId="0" applyFont="1" applyFill="1" applyBorder="1" applyAlignment="1">
      <alignment horizontal="center" vertical="center"/>
    </xf>
    <xf numFmtId="169" fontId="3" fillId="3" borderId="30" xfId="0" applyNumberFormat="1" applyFont="1" applyFill="1" applyBorder="1" applyAlignment="1">
      <alignment horizontal="center"/>
    </xf>
    <xf numFmtId="0" fontId="1" fillId="0" borderId="0" xfId="0" applyFont="1" applyBorder="1"/>
    <xf numFmtId="0" fontId="5" fillId="0" borderId="24" xfId="0" applyFont="1" applyBorder="1"/>
    <xf numFmtId="0" fontId="3" fillId="2" borderId="24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justify"/>
    </xf>
    <xf numFmtId="0" fontId="5" fillId="0" borderId="12" xfId="0" applyFont="1" applyBorder="1" applyAlignment="1">
      <alignment horizontal="justify"/>
    </xf>
    <xf numFmtId="0" fontId="1" fillId="5" borderId="32" xfId="0" applyFont="1" applyFill="1" applyBorder="1"/>
    <xf numFmtId="0" fontId="1" fillId="5" borderId="33" xfId="0" applyFont="1" applyFill="1" applyBorder="1"/>
    <xf numFmtId="0" fontId="1" fillId="4" borderId="13" xfId="0" applyFont="1" applyFill="1" applyBorder="1"/>
    <xf numFmtId="0" fontId="3" fillId="3" borderId="19" xfId="0" applyFont="1" applyFill="1" applyBorder="1"/>
    <xf numFmtId="0" fontId="5" fillId="4" borderId="5" xfId="0" applyFont="1" applyFill="1" applyBorder="1" applyAlignment="1">
      <alignment horizontal="right"/>
    </xf>
    <xf numFmtId="0" fontId="5" fillId="0" borderId="12" xfId="0" applyFont="1" applyBorder="1"/>
    <xf numFmtId="166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Protection="1"/>
    <xf numFmtId="168" fontId="3" fillId="0" borderId="13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2" xfId="0" applyNumberFormat="1" applyFont="1" applyFill="1" applyBorder="1" applyProtection="1">
      <protection locked="0"/>
    </xf>
    <xf numFmtId="0" fontId="1" fillId="4" borderId="35" xfId="0" applyFont="1" applyFill="1" applyBorder="1"/>
    <xf numFmtId="0" fontId="1" fillId="5" borderId="36" xfId="0" applyFont="1" applyFill="1" applyBorder="1"/>
    <xf numFmtId="168" fontId="3" fillId="0" borderId="1" xfId="0" applyNumberFormat="1" applyFont="1" applyBorder="1" applyAlignment="1">
      <alignment horizontal="center"/>
    </xf>
    <xf numFmtId="0" fontId="5" fillId="4" borderId="5" xfId="0" applyFont="1" applyFill="1" applyBorder="1" applyAlignment="1">
      <alignment wrapText="1"/>
    </xf>
    <xf numFmtId="0" fontId="1" fillId="5" borderId="13" xfId="0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/>
    </xf>
    <xf numFmtId="0" fontId="3" fillId="2" borderId="24" xfId="0" quotePrefix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4" borderId="0" xfId="0" applyFont="1" applyFill="1" applyBorder="1"/>
    <xf numFmtId="0" fontId="3" fillId="6" borderId="22" xfId="0" applyFont="1" applyFill="1" applyBorder="1"/>
    <xf numFmtId="0" fontId="1" fillId="6" borderId="27" xfId="0" applyFont="1" applyFill="1" applyBorder="1"/>
    <xf numFmtId="0" fontId="1" fillId="6" borderId="34" xfId="0" applyFont="1" applyFill="1" applyBorder="1"/>
    <xf numFmtId="0" fontId="1" fillId="6" borderId="28" xfId="0" applyFont="1" applyFill="1" applyBorder="1"/>
    <xf numFmtId="0" fontId="3" fillId="6" borderId="2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166" fontId="3" fillId="6" borderId="13" xfId="0" applyNumberFormat="1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vertical="center" wrapText="1"/>
    </xf>
    <xf numFmtId="169" fontId="3" fillId="3" borderId="30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justify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65" fontId="3" fillId="0" borderId="37" xfId="1" applyNumberFormat="1" applyFont="1" applyFill="1" applyBorder="1" applyAlignment="1" applyProtection="1">
      <alignment vertical="center"/>
    </xf>
    <xf numFmtId="165" fontId="3" fillId="0" borderId="37" xfId="1" applyNumberFormat="1" applyFont="1" applyFill="1" applyBorder="1" applyAlignment="1" applyProtection="1">
      <alignment horizontal="center" vertical="center"/>
    </xf>
    <xf numFmtId="165" fontId="3" fillId="0" borderId="37" xfId="1" quotePrefix="1" applyNumberFormat="1" applyFont="1" applyFill="1" applyBorder="1" applyAlignment="1" applyProtection="1">
      <alignment horizontal="center" vertical="center"/>
    </xf>
    <xf numFmtId="165" fontId="3" fillId="0" borderId="37" xfId="1" applyNumberFormat="1" applyFont="1" applyFill="1" applyBorder="1" applyAlignment="1" applyProtection="1">
      <alignment horizontal="justify" vertical="center"/>
    </xf>
    <xf numFmtId="0" fontId="3" fillId="0" borderId="37" xfId="1" applyNumberFormat="1" applyFont="1" applyFill="1" applyBorder="1" applyAlignment="1" applyProtection="1">
      <alignment horizontal="center" vertical="center"/>
    </xf>
    <xf numFmtId="4" fontId="3" fillId="0" borderId="37" xfId="1" applyNumberFormat="1" applyFont="1" applyFill="1" applyBorder="1" applyAlignment="1" applyProtection="1">
      <alignment horizontal="center" vertical="center"/>
    </xf>
    <xf numFmtId="4" fontId="3" fillId="0" borderId="37" xfId="1" quotePrefix="1" applyNumberFormat="1" applyFont="1" applyFill="1" applyBorder="1" applyAlignment="1" applyProtection="1">
      <alignment horizontal="center" vertical="center"/>
    </xf>
    <xf numFmtId="37" fontId="3" fillId="0" borderId="37" xfId="1" quotePrefix="1" applyNumberFormat="1" applyFont="1" applyFill="1" applyBorder="1" applyAlignment="1" applyProtection="1">
      <alignment horizontal="center" vertical="center"/>
    </xf>
    <xf numFmtId="1" fontId="3" fillId="0" borderId="37" xfId="1" quotePrefix="1" applyNumberFormat="1" applyFont="1" applyFill="1" applyBorder="1" applyAlignment="1" applyProtection="1">
      <alignment horizontal="center" vertical="center"/>
    </xf>
    <xf numFmtId="170" fontId="3" fillId="0" borderId="37" xfId="1" applyNumberFormat="1" applyFont="1" applyFill="1" applyBorder="1" applyAlignment="1" applyProtection="1">
      <alignment horizontal="center" vertical="center"/>
    </xf>
    <xf numFmtId="37" fontId="3" fillId="0" borderId="37" xfId="1" applyNumberFormat="1" applyFont="1" applyFill="1" applyBorder="1" applyAlignment="1" applyProtection="1">
      <alignment horizontal="center" vertical="center"/>
    </xf>
    <xf numFmtId="1" fontId="3" fillId="0" borderId="37" xfId="1" applyNumberFormat="1" applyFont="1" applyFill="1" applyBorder="1" applyAlignment="1" applyProtection="1">
      <alignment horizontal="center" vertical="center"/>
    </xf>
    <xf numFmtId="169" fontId="3" fillId="0" borderId="37" xfId="1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5" fontId="2" fillId="0" borderId="38" xfId="1" applyNumberFormat="1" applyFont="1" applyFill="1" applyBorder="1" applyAlignment="1" applyProtection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167" fontId="1" fillId="4" borderId="0" xfId="0" applyNumberFormat="1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7" fontId="1" fillId="0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  <border>
        <left style="dotted">
          <color indexed="10"/>
        </left>
        <right style="dotted">
          <color indexed="10"/>
        </right>
        <top style="dotted">
          <color indexed="10"/>
        </top>
        <bottom style="dotted">
          <color indexed="1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CCFFCC"/>
      <color rgb="FFFF9933"/>
      <color rgb="FFFFCCFF"/>
      <color rgb="FFFFCC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N780FM Center of Gravity Limits</a:t>
            </a:r>
          </a:p>
        </c:rich>
      </c:tx>
      <c:layout>
        <c:manualLayout>
          <c:xMode val="edge"/>
          <c:yMode val="edge"/>
          <c:x val="0.23630455695300517"/>
          <c:y val="2.9088458537277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93871031329591"/>
          <c:y val="0.14481886014231801"/>
          <c:w val="0.73794704528931065"/>
          <c:h val="0.7221633825763544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N780FM!$B$2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N780FM!$B$4:$B$8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88.9</c:v>
                </c:pt>
                <c:pt idx="3">
                  <c:v>91.5</c:v>
                </c:pt>
                <c:pt idx="4">
                  <c:v>91.5</c:v>
                </c:pt>
              </c:numCache>
            </c:numRef>
          </c:xVal>
          <c:yVal>
            <c:numRef>
              <c:f>N780FM!$A$4:$A$8</c:f>
              <c:numCache>
                <c:formatCode>General</c:formatCode>
                <c:ptCount val="5"/>
                <c:pt idx="0">
                  <c:v>1400</c:v>
                </c:pt>
                <c:pt idx="1">
                  <c:v>2375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40-4CFC-A94C-B6BDB69C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655056"/>
        <c:axId val="402655440"/>
      </c:scatterChart>
      <c:scatterChart>
        <c:scatterStyle val="lineMarker"/>
        <c:varyColors val="0"/>
        <c:ser>
          <c:idx val="0"/>
          <c:order val="1"/>
          <c:tx>
            <c:v>Utility NA</c:v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5"/>
            </c:numLit>
          </c:xVal>
          <c:yVal>
            <c:numLit>
              <c:formatCode>General</c:formatCode>
              <c:ptCount val="5"/>
            </c:numLit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40-4CFC-A94C-B6BDB69C2151}"/>
            </c:ext>
          </c:extLst>
        </c:ser>
        <c:ser>
          <c:idx val="1"/>
          <c:order val="2"/>
          <c:tx>
            <c:strRef>
              <c:f>N780FM!$A$23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N780FM!$D$23</c:f>
              <c:numCache>
                <c:formatCode>0.000</c:formatCode>
                <c:ptCount val="1"/>
                <c:pt idx="0">
                  <c:v>87.971887109884491</c:v>
                </c:pt>
              </c:numCache>
            </c:numRef>
          </c:xVal>
          <c:yVal>
            <c:numRef>
              <c:f>N780FM!$C$23</c:f>
              <c:numCache>
                <c:formatCode>0.00</c:formatCode>
                <c:ptCount val="1"/>
                <c:pt idx="0">
                  <c:v>2645.05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140-4CFC-A94C-B6BDB69C2151}"/>
            </c:ext>
          </c:extLst>
        </c:ser>
        <c:ser>
          <c:idx val="2"/>
          <c:order val="3"/>
          <c:tx>
            <c:strRef>
              <c:f>N780FM!$A$26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40-4CFC-A94C-B6BDB69C21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N780FM!$D$26</c:f>
              <c:numCache>
                <c:formatCode>0.000</c:formatCode>
                <c:ptCount val="1"/>
                <c:pt idx="0">
                  <c:v>86.970036827003455</c:v>
                </c:pt>
              </c:numCache>
            </c:numRef>
          </c:xVal>
          <c:yVal>
            <c:numRef>
              <c:f>N780FM!$C$26</c:f>
              <c:numCache>
                <c:formatCode>0.00</c:formatCode>
                <c:ptCount val="1"/>
                <c:pt idx="0">
                  <c:v>2213.0500000000002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140-4CFC-A94C-B6BDB69C2151}"/>
            </c:ext>
          </c:extLst>
        </c:ser>
        <c:ser>
          <c:idx val="3"/>
          <c:order val="4"/>
          <c:tx>
            <c:strRef>
              <c:f>N780FM!$A$25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star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xVal>
            <c:numRef>
              <c:f>N780FM!$D$25</c:f>
              <c:numCache>
                <c:formatCode>0.000</c:formatCode>
                <c:ptCount val="1"/>
                <c:pt idx="0">
                  <c:v>88.282318103300994</c:v>
                </c:pt>
              </c:numCache>
            </c:numRef>
          </c:xVal>
          <c:yVal>
            <c:numRef>
              <c:f>N780FM!$C$25</c:f>
              <c:numCache>
                <c:formatCode>0.00</c:formatCode>
                <c:ptCount val="1"/>
                <c:pt idx="0">
                  <c:v>2634.05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140-4CFC-A94C-B6BDB69C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954648"/>
        <c:axId val="213343448"/>
      </c:scatterChart>
      <c:valAx>
        <c:axId val="402655056"/>
        <c:scaling>
          <c:orientation val="minMax"/>
          <c:max val="94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41355803375258"/>
              <c:y val="0.9268407665258088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2655440"/>
        <c:crossesAt val="1400"/>
        <c:crossBetween val="midCat"/>
        <c:majorUnit val="2"/>
        <c:minorUnit val="0.2"/>
      </c:valAx>
      <c:valAx>
        <c:axId val="402655440"/>
        <c:scaling>
          <c:orientation val="minMax"/>
          <c:max val="3000"/>
          <c:min val="14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9226374983670056E-2"/>
              <c:y val="0.413216388491979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2655056"/>
        <c:crossesAt val="78"/>
        <c:crossBetween val="midCat"/>
        <c:majorUnit val="200"/>
        <c:minorUnit val="25"/>
      </c:valAx>
      <c:valAx>
        <c:axId val="402954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343448"/>
        <c:crosses val="autoZero"/>
        <c:crossBetween val="midCat"/>
      </c:valAx>
      <c:valAx>
        <c:axId val="213343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029546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1298321872663"/>
          <c:y val="0.16483507129176422"/>
          <c:w val="0.20599295042170901"/>
          <c:h val="0.1498101532046997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3175">
      <a:solidFill>
        <a:sysClr val="windowText" lastClr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N31669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'N31669'!$B$2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'N31669'!$B$4:$B$8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87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'N31669'!$A$4:$A$8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2325</c:v>
                </c:pt>
                <c:pt idx="3">
                  <c:v>2325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43056"/>
        <c:axId val="213342664"/>
      </c:scatterChart>
      <c:scatterChart>
        <c:scatterStyle val="lineMarker"/>
        <c:varyColors val="0"/>
        <c:ser>
          <c:idx val="0"/>
          <c:order val="1"/>
          <c:tx>
            <c:strRef>
              <c:f>'N31669'!$E$2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'N31669'!$E$4:$E$8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83.85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'N31669'!$D$4:$D$8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2025</c:v>
                </c:pt>
                <c:pt idx="3">
                  <c:v>2025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'N31669'!$A$23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'N31669'!$D$23</c:f>
              <c:numCache>
                <c:formatCode>0.000</c:formatCode>
                <c:ptCount val="1"/>
                <c:pt idx="0">
                  <c:v>87.185848128030329</c:v>
                </c:pt>
              </c:numCache>
            </c:numRef>
          </c:xVal>
          <c:yVal>
            <c:numRef>
              <c:f>'N31669'!$C$23</c:f>
              <c:numCache>
                <c:formatCode>0.00</c:formatCode>
                <c:ptCount val="1"/>
                <c:pt idx="0">
                  <c:v>2194.48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'N31669'!$A$25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'N31669'!$D$25</c:f>
              <c:numCache>
                <c:formatCode>0.000</c:formatCode>
                <c:ptCount val="1"/>
                <c:pt idx="0">
                  <c:v>86.005413117368136</c:v>
                </c:pt>
              </c:numCache>
            </c:numRef>
          </c:xVal>
          <c:yVal>
            <c:numRef>
              <c:f>'N31669'!$C$25</c:f>
              <c:numCache>
                <c:formatCode>0.00</c:formatCode>
                <c:ptCount val="1"/>
                <c:pt idx="0">
                  <c:v>1906.48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'N31669'!$A$24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'N31669'!$D$24</c:f>
              <c:numCache>
                <c:formatCode>0.000</c:formatCode>
                <c:ptCount val="1"/>
                <c:pt idx="0">
                  <c:v>87.181288585194281</c:v>
                </c:pt>
              </c:numCache>
            </c:numRef>
          </c:xVal>
          <c:yVal>
            <c:numRef>
              <c:f>'N31669'!$C$24</c:f>
              <c:numCache>
                <c:formatCode>0.00</c:formatCode>
                <c:ptCount val="1"/>
                <c:pt idx="0">
                  <c:v>2183.48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6784"/>
        <c:axId val="213336392"/>
      </c:scatterChart>
      <c:valAx>
        <c:axId val="213343056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213342664"/>
        <c:crossesAt val="1200"/>
        <c:crossBetween val="midCat"/>
        <c:majorUnit val="1"/>
        <c:minorUnit val="0.2"/>
      </c:valAx>
      <c:valAx>
        <c:axId val="213342664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213343056"/>
        <c:crossesAt val="80"/>
        <c:crossBetween val="midCat"/>
        <c:majorUnit val="100"/>
        <c:minorUnit val="20"/>
      </c:valAx>
      <c:valAx>
        <c:axId val="21333678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13336392"/>
        <c:crosses val="autoZero"/>
        <c:crossBetween val="midCat"/>
      </c:valAx>
      <c:valAx>
        <c:axId val="213336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3367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N2846N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N2846N!$B$2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N2846N!$B$4:$B$8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N2846N!$A$4:$A$8</c:f>
              <c:numCache>
                <c:formatCode>General</c:formatCode>
                <c:ptCount val="5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7176"/>
        <c:axId val="213337568"/>
      </c:scatterChart>
      <c:scatterChart>
        <c:scatterStyle val="lineMarker"/>
        <c:varyColors val="0"/>
        <c:ser>
          <c:idx val="0"/>
          <c:order val="1"/>
          <c:tx>
            <c:strRef>
              <c:f>N2846N!$E$2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N2846N!$E$4:$E$8</c:f>
              <c:numCache>
                <c:formatCode>0.0</c:formatCode>
                <c:ptCount val="5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N2846N!$D$4:$D$8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N2846N!$A$23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N2846N!$D$23</c:f>
              <c:numCache>
                <c:formatCode>0.000</c:formatCode>
                <c:ptCount val="1"/>
                <c:pt idx="0">
                  <c:v>87.626012595234172</c:v>
                </c:pt>
              </c:numCache>
            </c:numRef>
          </c:xVal>
          <c:yVal>
            <c:numRef>
              <c:f>N2846N!$C$23</c:f>
              <c:numCache>
                <c:formatCode>0.00</c:formatCode>
                <c:ptCount val="1"/>
                <c:pt idx="0">
                  <c:v>2240.5299999999997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N2846N!$A$25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N2846N!$D$25</c:f>
              <c:numCache>
                <c:formatCode>0.000</c:formatCode>
                <c:ptCount val="1"/>
                <c:pt idx="0">
                  <c:v>86.538342560677677</c:v>
                </c:pt>
              </c:numCache>
            </c:numRef>
          </c:xVal>
          <c:yVal>
            <c:numRef>
              <c:f>N2846N!$C$25</c:f>
              <c:numCache>
                <c:formatCode>0.00</c:formatCode>
                <c:ptCount val="1"/>
                <c:pt idx="0">
                  <c:v>1952.53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N2846N!$A$24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N2846N!$D$24</c:f>
              <c:numCache>
                <c:formatCode>0.000</c:formatCode>
                <c:ptCount val="1"/>
                <c:pt idx="0">
                  <c:v>87.623718900396057</c:v>
                </c:pt>
              </c:numCache>
            </c:numRef>
          </c:xVal>
          <c:yVal>
            <c:numRef>
              <c:f>N2846N!$C$24</c:f>
              <c:numCache>
                <c:formatCode>0.00</c:formatCode>
                <c:ptCount val="1"/>
                <c:pt idx="0">
                  <c:v>2229.5299999999997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37960"/>
        <c:axId val="119723984"/>
      </c:scatterChart>
      <c:valAx>
        <c:axId val="213337176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213337568"/>
        <c:crossesAt val="1200"/>
        <c:crossBetween val="midCat"/>
        <c:majorUnit val="1"/>
        <c:minorUnit val="0.2"/>
      </c:valAx>
      <c:valAx>
        <c:axId val="213337568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213337176"/>
        <c:crossesAt val="80"/>
        <c:crossBetween val="midCat"/>
        <c:majorUnit val="100"/>
        <c:minorUnit val="20"/>
      </c:valAx>
      <c:valAx>
        <c:axId val="21333796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19723984"/>
        <c:crosses val="autoZero"/>
        <c:crossBetween val="midCat"/>
      </c:valAx>
      <c:valAx>
        <c:axId val="11972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33379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N3037E Center of Gravity Limits</a:t>
            </a:r>
          </a:p>
        </c:rich>
      </c:tx>
      <c:layout>
        <c:manualLayout>
          <c:xMode val="edge"/>
          <c:yMode val="edge"/>
          <c:x val="0.22823529411764804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N3037E!$B$2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N3037E!$B$4:$B$8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87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N3037E!$A$4:$A$8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2325</c:v>
                </c:pt>
                <c:pt idx="3">
                  <c:v>2325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3248"/>
        <c:axId val="403804816"/>
      </c:scatterChart>
      <c:scatterChart>
        <c:scatterStyle val="lineMarker"/>
        <c:varyColors val="0"/>
        <c:ser>
          <c:idx val="0"/>
          <c:order val="1"/>
          <c:tx>
            <c:strRef>
              <c:f>N3037E!$E$2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N3037E!$E$4:$E$8</c:f>
              <c:numCache>
                <c:formatCode>0.0</c:formatCode>
                <c:ptCount val="5"/>
                <c:pt idx="0">
                  <c:v>83</c:v>
                </c:pt>
                <c:pt idx="1">
                  <c:v>83</c:v>
                </c:pt>
                <c:pt idx="2">
                  <c:v>83.85</c:v>
                </c:pt>
                <c:pt idx="3">
                  <c:v>93</c:v>
                </c:pt>
                <c:pt idx="4">
                  <c:v>93</c:v>
                </c:pt>
              </c:numCache>
            </c:numRef>
          </c:xVal>
          <c:yVal>
            <c:numRef>
              <c:f>N3037E!$D$4:$D$8</c:f>
              <c:numCache>
                <c:formatCode>General</c:formatCode>
                <c:ptCount val="5"/>
                <c:pt idx="0">
                  <c:v>1200</c:v>
                </c:pt>
                <c:pt idx="1">
                  <c:v>1950</c:v>
                </c:pt>
                <c:pt idx="2">
                  <c:v>2025</c:v>
                </c:pt>
                <c:pt idx="3">
                  <c:v>2025</c:v>
                </c:pt>
                <c:pt idx="4">
                  <c:v>1200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AB-4A10-B171-04AAF5D547CC}"/>
            </c:ext>
          </c:extLst>
        </c:ser>
        <c:ser>
          <c:idx val="1"/>
          <c:order val="2"/>
          <c:tx>
            <c:strRef>
              <c:f>N3037E!$A$23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N3037E!$D$23</c:f>
              <c:numCache>
                <c:formatCode>0.000</c:formatCode>
                <c:ptCount val="1"/>
                <c:pt idx="0">
                  <c:v>89.325989208633089</c:v>
                </c:pt>
              </c:numCache>
            </c:numRef>
          </c:xVal>
          <c:yVal>
            <c:numRef>
              <c:f>N3037E!$C$23</c:f>
              <c:numCache>
                <c:formatCode>0.00</c:formatCode>
                <c:ptCount val="1"/>
                <c:pt idx="0">
                  <c:v>2224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AB-4A10-B171-04AAF5D547CC}"/>
            </c:ext>
          </c:extLst>
        </c:ser>
        <c:ser>
          <c:idx val="2"/>
          <c:order val="3"/>
          <c:tx>
            <c:strRef>
              <c:f>N3037E!$A$25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AB-4A10-B171-04AAF5D547C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N3037E!$D$25</c:f>
              <c:numCache>
                <c:formatCode>0.000</c:formatCode>
                <c:ptCount val="1"/>
                <c:pt idx="0">
                  <c:v>88.481921487603302</c:v>
                </c:pt>
              </c:numCache>
            </c:numRef>
          </c:xVal>
          <c:yVal>
            <c:numRef>
              <c:f>N3037E!$C$25</c:f>
              <c:numCache>
                <c:formatCode>0.00</c:formatCode>
                <c:ptCount val="1"/>
                <c:pt idx="0">
                  <c:v>1936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AB-4A10-B171-04AAF5D547CC}"/>
            </c:ext>
          </c:extLst>
        </c:ser>
        <c:ser>
          <c:idx val="3"/>
          <c:order val="4"/>
          <c:tx>
            <c:strRef>
              <c:f>N3037E!$A$24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N3037E!$D$24</c:f>
              <c:numCache>
                <c:formatCode>0.000</c:formatCode>
                <c:ptCount val="1"/>
                <c:pt idx="0">
                  <c:v>89.332128332580211</c:v>
                </c:pt>
              </c:numCache>
            </c:numRef>
          </c:xVal>
          <c:yVal>
            <c:numRef>
              <c:f>N3037E!$C$24</c:f>
              <c:numCache>
                <c:formatCode>0.00</c:formatCode>
                <c:ptCount val="1"/>
                <c:pt idx="0">
                  <c:v>2213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1AB-4A10-B171-04AAF5D54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7560"/>
        <c:axId val="403806776"/>
      </c:scatterChart>
      <c:valAx>
        <c:axId val="403803248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4816"/>
        <c:crossesAt val="1200"/>
        <c:crossBetween val="midCat"/>
        <c:majorUnit val="1"/>
        <c:minorUnit val="0.2"/>
      </c:valAx>
      <c:valAx>
        <c:axId val="403804816"/>
        <c:scaling>
          <c:orientation val="minMax"/>
          <c:max val="2400"/>
          <c:min val="12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79E-2"/>
              <c:y val="0.39503378919740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3248"/>
        <c:crossesAt val="80"/>
        <c:crossBetween val="midCat"/>
        <c:majorUnit val="100"/>
        <c:minorUnit val="20"/>
      </c:valAx>
      <c:valAx>
        <c:axId val="40380756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403806776"/>
        <c:crosses val="autoZero"/>
        <c:crossBetween val="midCat"/>
      </c:valAx>
      <c:valAx>
        <c:axId val="4038067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038075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44" r="0.75000000000000344" t="1" header="0.51180555555555562" footer="0.51180555555555562"/>
    <c:pageSetup firstPageNumber="0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N782FM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N782FM!$B$2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N782FM!$B$4:$B$8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41</c:v>
                </c:pt>
                <c:pt idx="3">
                  <c:v>47.4</c:v>
                </c:pt>
                <c:pt idx="4">
                  <c:v>47.4</c:v>
                </c:pt>
              </c:numCache>
            </c:numRef>
          </c:xVal>
          <c:yVal>
            <c:numRef>
              <c:f>N782FM!$A$4:$A$8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A0-46D7-A052-71E10257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5600"/>
        <c:axId val="403805992"/>
      </c:scatterChart>
      <c:scatterChart>
        <c:scatterStyle val="lineMarker"/>
        <c:varyColors val="0"/>
        <c:ser>
          <c:idx val="0"/>
          <c:order val="1"/>
          <c:tx>
            <c:strRef>
              <c:f>N782FM!$E$2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N782FM!$E$4:$E$8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36.6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N782FM!$D$4:$D$8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0-46D7-A052-71E1025793AC}"/>
            </c:ext>
          </c:extLst>
        </c:ser>
        <c:ser>
          <c:idx val="1"/>
          <c:order val="2"/>
          <c:tx>
            <c:strRef>
              <c:f>N782FM!$A$24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8A0-46D7-A052-71E1025793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N782FM!$D$24</c:f>
              <c:numCache>
                <c:formatCode>0.000</c:formatCode>
                <c:ptCount val="1"/>
                <c:pt idx="0">
                  <c:v>44.42430528544881</c:v>
                </c:pt>
              </c:numCache>
            </c:numRef>
          </c:xVal>
          <c:yVal>
            <c:numRef>
              <c:f>N782FM!$C$24</c:f>
              <c:numCache>
                <c:formatCode>0.00</c:formatCode>
                <c:ptCount val="1"/>
                <c:pt idx="0">
                  <c:v>2545.29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A0-46D7-A052-71E1025793AC}"/>
            </c:ext>
          </c:extLst>
        </c:ser>
        <c:ser>
          <c:idx val="2"/>
          <c:order val="3"/>
          <c:tx>
            <c:strRef>
              <c:f>N782FM!$A$26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8A0-46D7-A052-71E1025793A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N782FM!$D$26</c:f>
              <c:numCache>
                <c:formatCode>0.000</c:formatCode>
                <c:ptCount val="1"/>
                <c:pt idx="0">
                  <c:v>44.052045512712063</c:v>
                </c:pt>
              </c:numCache>
            </c:numRef>
          </c:xVal>
          <c:yVal>
            <c:numRef>
              <c:f>N782FM!$C$26</c:f>
              <c:numCache>
                <c:formatCode>0.00</c:formatCode>
                <c:ptCount val="1"/>
                <c:pt idx="0">
                  <c:v>2305.29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A0-46D7-A052-71E1025793AC}"/>
            </c:ext>
          </c:extLst>
        </c:ser>
        <c:ser>
          <c:idx val="3"/>
          <c:order val="4"/>
          <c:tx>
            <c:strRef>
              <c:f>N782FM!$A$25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N782FM!$D$25</c:f>
              <c:numCache>
                <c:formatCode>0.000</c:formatCode>
                <c:ptCount val="1"/>
                <c:pt idx="0">
                  <c:v>44.423937276318014</c:v>
                </c:pt>
              </c:numCache>
            </c:numRef>
          </c:xVal>
          <c:yVal>
            <c:numRef>
              <c:f>N782FM!$C$25</c:f>
              <c:numCache>
                <c:formatCode>0.00</c:formatCode>
                <c:ptCount val="1"/>
                <c:pt idx="0">
                  <c:v>2534.29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8A0-46D7-A052-71E10257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5208"/>
        <c:axId val="403809520"/>
      </c:scatterChart>
      <c:valAx>
        <c:axId val="403805600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5992"/>
        <c:crossesAt val="1500"/>
        <c:crossBetween val="midCat"/>
        <c:majorUnit val="1"/>
        <c:minorUnit val="0.2"/>
      </c:valAx>
      <c:valAx>
        <c:axId val="403805992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5600"/>
        <c:crossesAt val="32"/>
        <c:crossBetween val="midCat"/>
        <c:majorUnit val="100"/>
        <c:minorUnit val="20"/>
      </c:valAx>
      <c:valAx>
        <c:axId val="403805208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403809520"/>
        <c:crosses val="autoZero"/>
        <c:crossBetween val="midCat"/>
      </c:valAx>
      <c:valAx>
        <c:axId val="40380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038052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48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N783FM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N783FM!$B$2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N783FM!$B$4:$B$8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39.5</c:v>
                </c:pt>
                <c:pt idx="3">
                  <c:v>47.4</c:v>
                </c:pt>
                <c:pt idx="4">
                  <c:v>47.4</c:v>
                </c:pt>
              </c:numCache>
            </c:numRef>
          </c:xVal>
          <c:yVal>
            <c:numRef>
              <c:f>N783FM!$A$4:$A$8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2400</c:v>
                </c:pt>
                <c:pt idx="3">
                  <c:v>2400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6384"/>
        <c:axId val="403808344"/>
      </c:scatterChart>
      <c:scatterChart>
        <c:scatterStyle val="lineMarker"/>
        <c:varyColors val="0"/>
        <c:ser>
          <c:idx val="0"/>
          <c:order val="1"/>
          <c:tx>
            <c:strRef>
              <c:f>N783FM!$E$2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N783FM!$E$4:$E$8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36.5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N783FM!$D$4:$D$8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2100</c:v>
                </c:pt>
                <c:pt idx="3">
                  <c:v>2100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1-4F2B-AC8D-B1E1ED0B4D7A}"/>
            </c:ext>
          </c:extLst>
        </c:ser>
        <c:ser>
          <c:idx val="1"/>
          <c:order val="2"/>
          <c:tx>
            <c:strRef>
              <c:f>N783FM!$A$24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N783FM!$D$24</c:f>
              <c:numCache>
                <c:formatCode>0.000</c:formatCode>
                <c:ptCount val="1"/>
                <c:pt idx="0">
                  <c:v>44.329404871515855</c:v>
                </c:pt>
              </c:numCache>
            </c:numRef>
          </c:xVal>
          <c:yVal>
            <c:numRef>
              <c:f>N783FM!$C$24</c:f>
              <c:numCache>
                <c:formatCode>0.00</c:formatCode>
                <c:ptCount val="1"/>
                <c:pt idx="0">
                  <c:v>2389.4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41-4F2B-AC8D-B1E1ED0B4D7A}"/>
            </c:ext>
          </c:extLst>
        </c:ser>
        <c:ser>
          <c:idx val="2"/>
          <c:order val="3"/>
          <c:tx>
            <c:strRef>
              <c:f>N783FM!$A$26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N783FM!$D$26</c:f>
              <c:numCache>
                <c:formatCode>0.000</c:formatCode>
                <c:ptCount val="1"/>
                <c:pt idx="0">
                  <c:v>43.80237388724035</c:v>
                </c:pt>
              </c:numCache>
            </c:numRef>
          </c:xVal>
          <c:yVal>
            <c:numRef>
              <c:f>N783FM!$C$26</c:f>
              <c:numCache>
                <c:formatCode>0.00</c:formatCode>
                <c:ptCount val="1"/>
                <c:pt idx="0">
                  <c:v>2089.4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41-4F2B-AC8D-B1E1ED0B4D7A}"/>
            </c:ext>
          </c:extLst>
        </c:ser>
        <c:ser>
          <c:idx val="3"/>
          <c:order val="4"/>
          <c:tx>
            <c:strRef>
              <c:f>N783FM!$A$25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N783FM!$D$25</c:f>
              <c:numCache>
                <c:formatCode>0.000</c:formatCode>
                <c:ptCount val="1"/>
                <c:pt idx="0">
                  <c:v>44.328573831146983</c:v>
                </c:pt>
              </c:numCache>
            </c:numRef>
          </c:xVal>
          <c:yVal>
            <c:numRef>
              <c:f>N783FM!$C$25</c:f>
              <c:numCache>
                <c:formatCode>0.00</c:formatCode>
                <c:ptCount val="1"/>
                <c:pt idx="0">
                  <c:v>2378.4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8736"/>
        <c:axId val="403809128"/>
      </c:scatterChart>
      <c:valAx>
        <c:axId val="403806384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8344"/>
        <c:crossesAt val="1500"/>
        <c:crossBetween val="midCat"/>
        <c:majorUnit val="1"/>
        <c:minorUnit val="0.2"/>
      </c:valAx>
      <c:valAx>
        <c:axId val="403808344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6384"/>
        <c:crossesAt val="32"/>
        <c:crossBetween val="midCat"/>
        <c:majorUnit val="100"/>
        <c:minorUnit val="20"/>
      </c:valAx>
      <c:valAx>
        <c:axId val="40380873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403809128"/>
        <c:crosses val="autoZero"/>
        <c:crossBetween val="midCat"/>
      </c:valAx>
      <c:valAx>
        <c:axId val="403809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0380873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N4846G Center of Gravity Limits</a:t>
            </a:r>
          </a:p>
        </c:rich>
      </c:tx>
      <c:layout>
        <c:manualLayout>
          <c:xMode val="edge"/>
          <c:yMode val="edge"/>
          <c:x val="0.22823529411764779"/>
          <c:y val="2.9473684210526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6470588235294"/>
          <c:y val="0.16252821670428888"/>
          <c:w val="0.74823529411764711"/>
          <c:h val="0.68171557562076768"/>
        </c:manualLayout>
      </c:layout>
      <c:scatterChart>
        <c:scatterStyle val="lineMarker"/>
        <c:varyColors val="0"/>
        <c:ser>
          <c:idx val="0"/>
          <c:order val="0"/>
          <c:tx>
            <c:strRef>
              <c:f>N4846G!$B$2</c:f>
              <c:strCache>
                <c:ptCount val="1"/>
                <c:pt idx="0">
                  <c:v>Normal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N4846G!$B$4:$B$8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38.5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N4846G!$A$4:$A$8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2300</c:v>
                </c:pt>
                <c:pt idx="3">
                  <c:v>2300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2464"/>
        <c:axId val="403802856"/>
      </c:scatterChart>
      <c:scatterChart>
        <c:scatterStyle val="lineMarker"/>
        <c:varyColors val="0"/>
        <c:ser>
          <c:idx val="0"/>
          <c:order val="1"/>
          <c:tx>
            <c:strRef>
              <c:f>N4846G!$E$2</c:f>
              <c:strCache>
                <c:ptCount val="1"/>
                <c:pt idx="0">
                  <c:v>Utility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Dot"/>
            </a:ln>
          </c:spPr>
          <c:marker>
            <c:symbol val="none"/>
          </c:marker>
          <c:xVal>
            <c:numRef>
              <c:f>N4846G!$E$4:$E$8</c:f>
              <c:numCache>
                <c:formatCode>0.0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35.5</c:v>
                </c:pt>
                <c:pt idx="3">
                  <c:v>40.5</c:v>
                </c:pt>
                <c:pt idx="4">
                  <c:v>40.466666666666669</c:v>
                </c:pt>
              </c:numCache>
            </c:numRef>
          </c:xVal>
          <c:yVal>
            <c:numRef>
              <c:f>N4846G!$D$4:$D$8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2000</c:v>
                </c:pt>
                <c:pt idx="3">
                  <c:v>2000</c:v>
                </c:pt>
                <c:pt idx="4">
                  <c:v>1500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1-4F2B-AC8D-B1E1ED0B4D7A}"/>
            </c:ext>
          </c:extLst>
        </c:ser>
        <c:ser>
          <c:idx val="1"/>
          <c:order val="2"/>
          <c:tx>
            <c:strRef>
              <c:f>N4846G!$A$24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N4846G!$D$24</c:f>
              <c:numCache>
                <c:formatCode>0.000</c:formatCode>
                <c:ptCount val="1"/>
                <c:pt idx="0">
                  <c:v>44.578261782743851</c:v>
                </c:pt>
              </c:numCache>
            </c:numRef>
          </c:xVal>
          <c:yVal>
            <c:numRef>
              <c:f>N4846G!$C$24</c:f>
              <c:numCache>
                <c:formatCode>0.00</c:formatCode>
                <c:ptCount val="1"/>
                <c:pt idx="0">
                  <c:v>2380.6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41-4F2B-AC8D-B1E1ED0B4D7A}"/>
            </c:ext>
          </c:extLst>
        </c:ser>
        <c:ser>
          <c:idx val="2"/>
          <c:order val="3"/>
          <c:tx>
            <c:strRef>
              <c:f>N4846G!$A$26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241-4F2B-AC8D-B1E1ED0B4D7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N4846G!$D$26</c:f>
              <c:numCache>
                <c:formatCode>0.000</c:formatCode>
                <c:ptCount val="1"/>
                <c:pt idx="0">
                  <c:v>44.09930308564838</c:v>
                </c:pt>
              </c:numCache>
            </c:numRef>
          </c:xVal>
          <c:yVal>
            <c:numRef>
              <c:f>N4846G!$C$26</c:f>
              <c:numCache>
                <c:formatCode>0.00</c:formatCode>
                <c:ptCount val="1"/>
                <c:pt idx="0">
                  <c:v>2080.6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41-4F2B-AC8D-B1E1ED0B4D7A}"/>
            </c:ext>
          </c:extLst>
        </c:ser>
        <c:ser>
          <c:idx val="3"/>
          <c:order val="4"/>
          <c:tx>
            <c:strRef>
              <c:f>N4846G!$A$25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N4846G!$D$25</c:f>
              <c:numCache>
                <c:formatCode>0.000</c:formatCode>
                <c:ptCount val="1"/>
                <c:pt idx="0">
                  <c:v>44.579013335584072</c:v>
                </c:pt>
              </c:numCache>
            </c:numRef>
          </c:xVal>
          <c:yVal>
            <c:numRef>
              <c:f>N4846G!$C$25</c:f>
              <c:numCache>
                <c:formatCode>0.00</c:formatCode>
                <c:ptCount val="1"/>
                <c:pt idx="0">
                  <c:v>2369.6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41-4F2B-AC8D-B1E1ED0B4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803640"/>
        <c:axId val="403804032"/>
      </c:scatterChart>
      <c:valAx>
        <c:axId val="403802464"/>
        <c:scaling>
          <c:orientation val="minMax"/>
          <c:max val="48"/>
          <c:min val="34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823529411764732"/>
              <c:y val="0.914221301284707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2856"/>
        <c:crossesAt val="1500"/>
        <c:crossBetween val="midCat"/>
        <c:majorUnit val="1"/>
        <c:minorUnit val="0.2"/>
      </c:valAx>
      <c:valAx>
        <c:axId val="403802856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647058823529679E-2"/>
              <c:y val="0.39503378919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3802464"/>
        <c:crossesAt val="32"/>
        <c:crossBetween val="midCat"/>
        <c:majorUnit val="100"/>
        <c:minorUnit val="20"/>
      </c:valAx>
      <c:valAx>
        <c:axId val="40380364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403804032"/>
        <c:crosses val="autoZero"/>
        <c:crossBetween val="midCat"/>
      </c:valAx>
      <c:valAx>
        <c:axId val="40380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038036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52941176470589"/>
          <c:y val="0.18438856195607126"/>
          <c:w val="0.19294117647058839"/>
          <c:h val="0.160270976654233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255" r="0.75000000000000255" t="1" header="0.51180555555555562" footer="0.51180555555555562"/>
    <c:pageSetup firstPageNumber="0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N63532 Center of Gravity Limits</a:t>
            </a:r>
          </a:p>
        </c:rich>
      </c:tx>
      <c:layout>
        <c:manualLayout>
          <c:xMode val="edge"/>
          <c:yMode val="edge"/>
          <c:x val="0.21707317073170734"/>
          <c:y val="3.0092592592592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534905903554123"/>
          <c:y val="0.17530906469199711"/>
          <c:w val="0.75116364367237964"/>
          <c:h val="0.654322565399704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'N63532'!$E$2</c:f>
              <c:strCache>
                <c:ptCount val="1"/>
                <c:pt idx="0">
                  <c:v>Utility Only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'N63532'!$E$4:$E$9</c:f>
              <c:numCache>
                <c:formatCode>0.0</c:formatCode>
                <c:ptCount val="6"/>
                <c:pt idx="0">
                  <c:v>31.454545454545453</c:v>
                </c:pt>
                <c:pt idx="1">
                  <c:v>31.53846153846154</c:v>
                </c:pt>
                <c:pt idx="2">
                  <c:v>32.8125</c:v>
                </c:pt>
                <c:pt idx="3">
                  <c:v>37.5</c:v>
                </c:pt>
                <c:pt idx="4">
                  <c:v>37.454545454545453</c:v>
                </c:pt>
                <c:pt idx="5">
                  <c:v>31.454545454545453</c:v>
                </c:pt>
              </c:numCache>
            </c:numRef>
          </c:xVal>
          <c:yVal>
            <c:numRef>
              <c:f>'N63532'!$D$4:$D$9</c:f>
              <c:numCache>
                <c:formatCode>General</c:formatCode>
                <c:ptCount val="6"/>
                <c:pt idx="0">
                  <c:v>1100</c:v>
                </c:pt>
                <c:pt idx="1">
                  <c:v>1300</c:v>
                </c:pt>
                <c:pt idx="2">
                  <c:v>1600</c:v>
                </c:pt>
                <c:pt idx="3">
                  <c:v>1600</c:v>
                </c:pt>
                <c:pt idx="4">
                  <c:v>1100</c:v>
                </c:pt>
                <c:pt idx="5">
                  <c:v>1100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67880"/>
        <c:axId val="404070232"/>
      </c:scatterChart>
      <c:scatterChart>
        <c:scatterStyle val="lineMarker"/>
        <c:varyColors val="0"/>
        <c:ser>
          <c:idx val="1"/>
          <c:order val="2"/>
          <c:tx>
            <c:strRef>
              <c:f>'N63532'!$A$23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'N63532'!$D$23</c:f>
              <c:numCache>
                <c:formatCode>0.000</c:formatCode>
                <c:ptCount val="1"/>
                <c:pt idx="0">
                  <c:v>34.346060905248216</c:v>
                </c:pt>
              </c:numCache>
            </c:numRef>
          </c:xVal>
          <c:yVal>
            <c:numRef>
              <c:f>'N63532'!$C$23</c:f>
              <c:numCache>
                <c:formatCode>0.00</c:formatCode>
                <c:ptCount val="1"/>
                <c:pt idx="0">
                  <c:v>1620.55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EC-4C1E-9C0E-D8B55BA1AE09}"/>
            </c:ext>
          </c:extLst>
        </c:ser>
        <c:ser>
          <c:idx val="2"/>
          <c:order val="3"/>
          <c:tx>
            <c:strRef>
              <c:f>'N63532'!$A$25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'N63532'!$D$25</c:f>
              <c:numCache>
                <c:formatCode>0.000</c:formatCode>
                <c:ptCount val="1"/>
                <c:pt idx="0">
                  <c:v>33.630331527043857</c:v>
                </c:pt>
              </c:numCache>
            </c:numRef>
          </c:xVal>
          <c:yVal>
            <c:numRef>
              <c:f>'N63532'!$C$25</c:f>
              <c:numCache>
                <c:formatCode>0.00</c:formatCode>
                <c:ptCount val="1"/>
                <c:pt idx="0">
                  <c:v>1485.55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EEC-4C1E-9C0E-D8B55BA1AE09}"/>
            </c:ext>
          </c:extLst>
        </c:ser>
        <c:ser>
          <c:idx val="3"/>
          <c:order val="4"/>
          <c:tx>
            <c:strRef>
              <c:f>'N63532'!$A$24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'N63532'!$D$24</c:f>
              <c:numCache>
                <c:formatCode>0.000</c:formatCode>
                <c:ptCount val="1"/>
                <c:pt idx="0">
                  <c:v>34.313220838122454</c:v>
                </c:pt>
              </c:numCache>
            </c:numRef>
          </c:xVal>
          <c:yVal>
            <c:numRef>
              <c:f>'N63532'!$C$24</c:f>
              <c:numCache>
                <c:formatCode>0.00</c:formatCode>
                <c:ptCount val="1"/>
                <c:pt idx="0">
                  <c:v>1609.55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69840"/>
        <c:axId val="404069056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Utility</c:v>
                </c:tx>
                <c:spPr>
                  <a:ln w="25400">
                    <a:solidFill>
                      <a:srgbClr val="000000"/>
                    </a:solidFill>
                    <a:prstDash val="lgDashDot"/>
                  </a:ln>
                </c:spPr>
                <c:marker>
                  <c:symbol val="none"/>
                </c:marker>
                <c:dLbls>
                  <c:dLbl>
                    <c:idx val="0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1" i="0" u="none" strike="noStrike" baseline="0">
                            <a:solidFill>
                              <a:srgbClr val="000000"/>
                            </a:solidFill>
                            <a:latin typeface="MS Sans Serif"/>
                            <a:ea typeface="MS Sans Serif"/>
                            <a:cs typeface="MS Sans Serif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1-4EEC-4C1E-9C0E-D8B55BA1AE09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xVal>
                  <c:numLit>
                    <c:formatCode>General</c:formatCode>
                    <c:ptCount val="5"/>
                  </c:numLit>
                </c:xVal>
                <c:yVal>
                  <c:numLit>
                    <c:formatCode>General</c:formatCode>
                    <c:ptCount val="5"/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4EEC-4C1E-9C0E-D8B55BA1AE09}"/>
                  </c:ext>
                </c:extLst>
              </c15:ser>
            </c15:filteredScatterSeries>
          </c:ext>
        </c:extLst>
      </c:scatterChart>
      <c:valAx>
        <c:axId val="404067880"/>
        <c:scaling>
          <c:orientation val="minMax"/>
          <c:max val="38"/>
          <c:min val="3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790756033544936"/>
              <c:y val="0.906175026732769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4070232"/>
        <c:crossesAt val="1100"/>
        <c:crossBetween val="midCat"/>
        <c:majorUnit val="1"/>
        <c:minorUnit val="0.2"/>
      </c:valAx>
      <c:valAx>
        <c:axId val="404070232"/>
        <c:scaling>
          <c:orientation val="minMax"/>
          <c:max val="1700"/>
          <c:min val="11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209397605787377E-2"/>
              <c:y val="0.3827170214834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4067880"/>
        <c:crossesAt val="30"/>
        <c:crossBetween val="midCat"/>
        <c:majorUnit val="100"/>
        <c:minorUnit val="20"/>
      </c:valAx>
      <c:valAx>
        <c:axId val="404069840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404069056"/>
        <c:crosses val="autoZero"/>
        <c:crossBetween val="midCat"/>
      </c:valAx>
      <c:valAx>
        <c:axId val="4040690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4040698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95454836438141"/>
          <c:y val="0.20076990376203119"/>
          <c:w val="0.19069790666410602"/>
          <c:h val="0.17530912802566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33" r="0.75000000000000333" t="1" header="0.51180555555555562" footer="0.51180555555555562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N6690S Center</a:t>
            </a:r>
            <a:r>
              <a:rPr lang="en-US" baseline="0"/>
              <a:t> of Gravity Limits</a:t>
            </a:r>
          </a:p>
        </c:rich>
      </c:tx>
      <c:layout>
        <c:manualLayout>
          <c:xMode val="edge"/>
          <c:yMode val="edge"/>
          <c:x val="0.26698689956331878"/>
          <c:y val="6.60919540229885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534905903554123"/>
          <c:y val="0.17530906469199711"/>
          <c:w val="0.75116364367237964"/>
          <c:h val="0.65432256539970435"/>
        </c:manualLayout>
      </c:layout>
      <c:scatterChart>
        <c:scatterStyle val="lineMarker"/>
        <c:varyColors val="0"/>
        <c:ser>
          <c:idx val="0"/>
          <c:order val="0"/>
          <c:tx>
            <c:strRef>
              <c:f>N6690S!$E$2</c:f>
              <c:strCache>
                <c:ptCount val="1"/>
                <c:pt idx="0">
                  <c:v>Utility Only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N6690S!$E$4:$E$9</c:f>
              <c:numCache>
                <c:formatCode>0.0</c:formatCode>
                <c:ptCount val="6"/>
                <c:pt idx="0">
                  <c:v>31.454545454545453</c:v>
                </c:pt>
                <c:pt idx="1">
                  <c:v>31.53846153846154</c:v>
                </c:pt>
                <c:pt idx="2">
                  <c:v>32.8125</c:v>
                </c:pt>
                <c:pt idx="3">
                  <c:v>37.5</c:v>
                </c:pt>
                <c:pt idx="4">
                  <c:v>37.454545454545453</c:v>
                </c:pt>
                <c:pt idx="5">
                  <c:v>31.454545454545453</c:v>
                </c:pt>
              </c:numCache>
            </c:numRef>
          </c:xVal>
          <c:yVal>
            <c:numRef>
              <c:f>N6690S!$D$4:$D$9</c:f>
              <c:numCache>
                <c:formatCode>General</c:formatCode>
                <c:ptCount val="6"/>
                <c:pt idx="0">
                  <c:v>1100</c:v>
                </c:pt>
                <c:pt idx="1">
                  <c:v>1300</c:v>
                </c:pt>
                <c:pt idx="2">
                  <c:v>1600</c:v>
                </c:pt>
                <c:pt idx="3">
                  <c:v>1600</c:v>
                </c:pt>
                <c:pt idx="4">
                  <c:v>1100</c:v>
                </c:pt>
                <c:pt idx="5">
                  <c:v>1100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71408"/>
        <c:axId val="404064744"/>
      </c:scatterChart>
      <c:scatterChart>
        <c:scatterStyle val="lineMarker"/>
        <c:varyColors val="0"/>
        <c:ser>
          <c:idx val="1"/>
          <c:order val="2"/>
          <c:tx>
            <c:strRef>
              <c:f>N6690S!$A$23</c:f>
              <c:strCache>
                <c:ptCount val="1"/>
                <c:pt idx="0">
                  <c:v>Ramp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N6690S!$D$23</c:f>
              <c:numCache>
                <c:formatCode>0.000</c:formatCode>
                <c:ptCount val="1"/>
                <c:pt idx="0">
                  <c:v>34.908643842551577</c:v>
                </c:pt>
              </c:numCache>
            </c:numRef>
          </c:xVal>
          <c:yVal>
            <c:numRef>
              <c:f>N6690S!$C$23</c:f>
              <c:numCache>
                <c:formatCode>0.00</c:formatCode>
                <c:ptCount val="1"/>
                <c:pt idx="0">
                  <c:v>1580.2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EEC-4C1E-9C0E-D8B55BA1AE09}"/>
            </c:ext>
          </c:extLst>
        </c:ser>
        <c:ser>
          <c:idx val="2"/>
          <c:order val="3"/>
          <c:tx>
            <c:strRef>
              <c:f>N6690S!$A$25</c:f>
              <c:strCache>
                <c:ptCount val="1"/>
                <c:pt idx="0">
                  <c:v>No Fuel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1" i="0" u="none" strike="noStrike" baseline="0">
                      <a:solidFill>
                        <a:srgbClr val="000000"/>
                      </a:solidFill>
                      <a:latin typeface="MS Sans Serif"/>
                      <a:ea typeface="MS Sans Serif"/>
                      <a:cs typeface="MS Sans Serif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EEC-4C1E-9C0E-D8B55BA1AE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N6690S!$D$25</c:f>
              <c:numCache>
                <c:formatCode>0.000</c:formatCode>
                <c:ptCount val="1"/>
                <c:pt idx="0">
                  <c:v>34.225483670080266</c:v>
                </c:pt>
              </c:numCache>
            </c:numRef>
          </c:xVal>
          <c:yVal>
            <c:numRef>
              <c:f>N6690S!$C$25</c:f>
              <c:numCache>
                <c:formatCode>0.00</c:formatCode>
                <c:ptCount val="1"/>
                <c:pt idx="0">
                  <c:v>1445.2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EEC-4C1E-9C0E-D8B55BA1AE09}"/>
            </c:ext>
          </c:extLst>
        </c:ser>
        <c:ser>
          <c:idx val="3"/>
          <c:order val="4"/>
          <c:tx>
            <c:strRef>
              <c:f>N6690S!$A$24</c:f>
              <c:strCache>
                <c:ptCount val="1"/>
                <c:pt idx="0">
                  <c:v>Takeoff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N6690S!$D$24</c:f>
              <c:numCache>
                <c:formatCode>0.000</c:formatCode>
                <c:ptCount val="1"/>
                <c:pt idx="0">
                  <c:v>34.878903007902117</c:v>
                </c:pt>
              </c:numCache>
            </c:numRef>
          </c:xVal>
          <c:yVal>
            <c:numRef>
              <c:f>N6690S!$C$24</c:f>
              <c:numCache>
                <c:formatCode>0.00</c:formatCode>
                <c:ptCount val="1"/>
                <c:pt idx="0">
                  <c:v>1569.2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EEC-4C1E-9C0E-D8B55BA1A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071800"/>
        <c:axId val="40406435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0"/>
                <c:order val="1"/>
                <c:tx>
                  <c:v>Utility</c:v>
                </c:tx>
                <c:spPr>
                  <a:ln w="25400">
                    <a:solidFill>
                      <a:srgbClr val="000000"/>
                    </a:solidFill>
                    <a:prstDash val="lgDashDot"/>
                  </a:ln>
                </c:spPr>
                <c:marker>
                  <c:symbol val="none"/>
                </c:marker>
                <c:dLbls>
                  <c:dLbl>
                    <c:idx val="0"/>
                    <c:spPr>
                      <a:noFill/>
                      <a:ln w="25400">
                        <a:noFill/>
                      </a:ln>
                    </c:spPr>
                    <c:txPr>
                      <a:bodyPr/>
                      <a:lstStyle/>
                      <a:p>
                        <a:pPr>
                          <a:defRPr sz="1000" b="1" i="0" u="none" strike="noStrike" baseline="0">
                            <a:solidFill>
                              <a:srgbClr val="000000"/>
                            </a:solidFill>
                            <a:latin typeface="MS Sans Serif"/>
                            <a:ea typeface="MS Sans Serif"/>
                            <a:cs typeface="MS Sans Serif"/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>
                      <c:ext xmlns:c16="http://schemas.microsoft.com/office/drawing/2014/chart" uri="{C3380CC4-5D6E-409C-BE32-E72D297353CC}">
                        <c16:uniqueId val="{00000001-4EEC-4C1E-9C0E-D8B55BA1AE09}"/>
                      </c:ex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6r2="http://schemas.microsoft.com/office/drawing/2015/06/chart">
                    <c:ext uri="{CE6537A1-D6FC-4f65-9D91-7224C49458BB}">
                      <c15:showLeaderLines val="0"/>
                    </c:ext>
                  </c:extLst>
                </c:dLbls>
                <c:xVal>
                  <c:numLit>
                    <c:formatCode>General</c:formatCode>
                    <c:ptCount val="5"/>
                  </c:numLit>
                </c:xVal>
                <c:yVal>
                  <c:numLit>
                    <c:formatCode>General</c:formatCode>
                    <c:ptCount val="5"/>
                  </c:numLit>
                </c:y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4EEC-4C1E-9C0E-D8B55BA1AE09}"/>
                  </c:ext>
                </c:extLst>
              </c15:ser>
            </c15:filteredScatterSeries>
          </c:ext>
        </c:extLst>
      </c:scatterChart>
      <c:valAx>
        <c:axId val="404071408"/>
        <c:scaling>
          <c:orientation val="minMax"/>
          <c:max val="38"/>
          <c:min val="30"/>
        </c:scaling>
        <c:delete val="0"/>
        <c:axPos val="b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CG (in. aft datum)</a:t>
                </a:r>
              </a:p>
            </c:rich>
          </c:tx>
          <c:layout>
            <c:manualLayout>
              <c:xMode val="edge"/>
              <c:yMode val="edge"/>
              <c:x val="0.42790756033544936"/>
              <c:y val="0.906175026732769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4064744"/>
        <c:crossesAt val="1100"/>
        <c:crossBetween val="midCat"/>
        <c:majorUnit val="1"/>
        <c:minorUnit val="0.2"/>
      </c:valAx>
      <c:valAx>
        <c:axId val="404064744"/>
        <c:scaling>
          <c:orientation val="minMax"/>
          <c:max val="1700"/>
          <c:min val="1100"/>
        </c:scaling>
        <c:delete val="0"/>
        <c:axPos val="l"/>
        <c:majorGridlines>
          <c:spPr>
            <a:ln w="3175">
              <a:solidFill>
                <a:srgbClr val="0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Gross Weight</a:t>
                </a:r>
              </a:p>
            </c:rich>
          </c:tx>
          <c:layout>
            <c:manualLayout>
              <c:xMode val="edge"/>
              <c:yMode val="edge"/>
              <c:x val="3.7209397605787377E-2"/>
              <c:y val="0.38271702148342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in"/>
        <c:tickLblPos val="low"/>
        <c:spPr>
          <a:ln w="3175">
            <a:solidFill>
              <a:srgbClr val="00808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n-US"/>
          </a:p>
        </c:txPr>
        <c:crossAx val="404071408"/>
        <c:crossesAt val="30"/>
        <c:crossBetween val="midCat"/>
        <c:majorUnit val="100"/>
        <c:minorUnit val="20"/>
      </c:valAx>
      <c:valAx>
        <c:axId val="404071800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one"/>
        <c:crossAx val="404064352"/>
        <c:crosses val="autoZero"/>
        <c:crossBetween val="midCat"/>
      </c:valAx>
      <c:valAx>
        <c:axId val="40406435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40407180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95454836438141"/>
          <c:y val="0.20076990376203119"/>
          <c:w val="0.19069790666410602"/>
          <c:h val="0.1753091280256634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Lohit Hindi"/>
          <a:ea typeface="Lohit Hindi"/>
          <a:cs typeface="Lohit Hindi"/>
        </a:defRPr>
      </a:pPr>
      <a:endParaRPr lang="en-US"/>
    </a:p>
  </c:txPr>
  <c:printSettings>
    <c:headerFooter alignWithMargins="0"/>
    <c:pageMargins b="1" l="0.75000000000000333" r="0.750000000000003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0</xdr:rowOff>
    </xdr:from>
    <xdr:to>
      <xdr:col>13</xdr:col>
      <xdr:colOff>485775</xdr:colOff>
      <xdr:row>25</xdr:row>
      <xdr:rowOff>104775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161925</xdr:rowOff>
    </xdr:from>
    <xdr:to>
      <xdr:col>13</xdr:col>
      <xdr:colOff>552450</xdr:colOff>
      <xdr:row>25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161925</xdr:rowOff>
    </xdr:from>
    <xdr:to>
      <xdr:col>13</xdr:col>
      <xdr:colOff>438150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</xdr:row>
      <xdr:rowOff>161925</xdr:rowOff>
    </xdr:from>
    <xdr:to>
      <xdr:col>13</xdr:col>
      <xdr:colOff>295275</xdr:colOff>
      <xdr:row>25</xdr:row>
      <xdr:rowOff>85725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161925</xdr:rowOff>
    </xdr:from>
    <xdr:to>
      <xdr:col>13</xdr:col>
      <xdr:colOff>323850</xdr:colOff>
      <xdr:row>25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9"/>
  <sheetViews>
    <sheetView workbookViewId="0">
      <selection activeCell="A2" sqref="A2"/>
    </sheetView>
  </sheetViews>
  <sheetFormatPr defaultColWidth="8.28515625" defaultRowHeight="12.75"/>
  <cols>
    <col min="1" max="1" width="43.7109375" style="1" customWidth="1"/>
    <col min="2" max="2" width="18.5703125" style="1" customWidth="1"/>
    <col min="3" max="5" width="17.85546875" style="1" customWidth="1"/>
    <col min="6" max="6" width="19.140625" style="12" customWidth="1"/>
    <col min="7" max="8" width="19" style="12" customWidth="1"/>
    <col min="9" max="9" width="19.140625" style="12" customWidth="1"/>
    <col min="10" max="10" width="19.85546875" style="12" customWidth="1"/>
    <col min="11" max="11" width="9.5703125" style="12" bestFit="1" customWidth="1"/>
    <col min="12" max="17" width="9.140625" style="12" bestFit="1" customWidth="1"/>
    <col min="18" max="22" width="8.28515625" style="12"/>
    <col min="23" max="16384" width="8.28515625" style="1"/>
  </cols>
  <sheetData>
    <row r="1" spans="1:22" ht="20.100000000000001" customHeight="1">
      <c r="A1" s="133" t="s">
        <v>130</v>
      </c>
      <c r="B1" s="134"/>
      <c r="C1" s="134"/>
      <c r="D1" s="134"/>
      <c r="E1" s="134"/>
      <c r="F1" s="134"/>
      <c r="G1" s="134"/>
      <c r="H1" s="134"/>
      <c r="I1" s="134"/>
      <c r="J1" s="13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14" customFormat="1" ht="18" customHeight="1">
      <c r="A2" s="118" t="s">
        <v>0</v>
      </c>
      <c r="B2" s="119" t="s">
        <v>1</v>
      </c>
      <c r="C2" s="119" t="s">
        <v>2</v>
      </c>
      <c r="D2" s="119" t="s">
        <v>123</v>
      </c>
      <c r="E2" s="119" t="s">
        <v>3</v>
      </c>
      <c r="F2" s="119" t="s">
        <v>4</v>
      </c>
      <c r="G2" s="119" t="s">
        <v>5</v>
      </c>
      <c r="H2" s="119" t="s">
        <v>6</v>
      </c>
      <c r="I2" s="119" t="s">
        <v>7</v>
      </c>
      <c r="J2" s="119" t="s">
        <v>8</v>
      </c>
      <c r="K2" s="13"/>
      <c r="L2" s="13"/>
      <c r="M2" s="13"/>
      <c r="N2" s="13"/>
    </row>
    <row r="3" spans="1:22" s="14" customFormat="1" ht="18" customHeight="1">
      <c r="A3" s="118" t="s">
        <v>9</v>
      </c>
      <c r="B3" s="120" t="s">
        <v>10</v>
      </c>
      <c r="C3" s="119" t="s">
        <v>11</v>
      </c>
      <c r="D3" s="119" t="s">
        <v>11</v>
      </c>
      <c r="E3" s="119" t="s">
        <v>11</v>
      </c>
      <c r="F3" s="120" t="s">
        <v>12</v>
      </c>
      <c r="G3" s="119" t="s">
        <v>12</v>
      </c>
      <c r="H3" s="119" t="s">
        <v>12</v>
      </c>
      <c r="I3" s="119" t="s">
        <v>13</v>
      </c>
      <c r="J3" s="119" t="s">
        <v>13</v>
      </c>
      <c r="K3" s="13"/>
      <c r="L3" s="13"/>
      <c r="M3" s="13"/>
      <c r="N3" s="13"/>
    </row>
    <row r="4" spans="1:22" s="17" customFormat="1" ht="18" customHeight="1">
      <c r="A4" s="121" t="s">
        <v>14</v>
      </c>
      <c r="B4" s="119" t="s">
        <v>15</v>
      </c>
      <c r="C4" s="119" t="s">
        <v>16</v>
      </c>
      <c r="D4" s="119" t="s">
        <v>124</v>
      </c>
      <c r="E4" s="119" t="s">
        <v>16</v>
      </c>
      <c r="F4" s="119" t="s">
        <v>17</v>
      </c>
      <c r="G4" s="119" t="s">
        <v>18</v>
      </c>
      <c r="H4" s="119" t="s">
        <v>19</v>
      </c>
      <c r="I4" s="119" t="str">
        <f>'N63532'!E13</f>
        <v>Cessna 150M</v>
      </c>
      <c r="J4" s="119" t="str">
        <f>N6690S!E13</f>
        <v>Cessna 150H</v>
      </c>
      <c r="K4" s="16"/>
      <c r="L4" s="16"/>
      <c r="M4" s="16"/>
      <c r="N4" s="16"/>
    </row>
    <row r="5" spans="1:22" s="17" customFormat="1" ht="18" customHeight="1">
      <c r="A5" s="118" t="s">
        <v>20</v>
      </c>
      <c r="B5" s="120" t="s">
        <v>21</v>
      </c>
      <c r="C5" s="119" t="s">
        <v>22</v>
      </c>
      <c r="D5" s="119" t="s">
        <v>125</v>
      </c>
      <c r="E5" s="119" t="s">
        <v>22</v>
      </c>
      <c r="F5" s="120" t="s">
        <v>23</v>
      </c>
      <c r="G5" s="119" t="s">
        <v>23</v>
      </c>
      <c r="H5" s="119" t="s">
        <v>23</v>
      </c>
      <c r="I5" s="119" t="s">
        <v>24</v>
      </c>
      <c r="J5" s="119" t="s">
        <v>24</v>
      </c>
      <c r="K5" s="16"/>
      <c r="L5" s="16"/>
      <c r="M5" s="16"/>
      <c r="N5" s="16"/>
    </row>
    <row r="6" spans="1:22" s="14" customFormat="1" ht="18" customHeight="1">
      <c r="A6" s="118" t="s">
        <v>25</v>
      </c>
      <c r="B6" s="122">
        <v>2002</v>
      </c>
      <c r="C6" s="122">
        <v>1978</v>
      </c>
      <c r="D6" s="122">
        <v>1976</v>
      </c>
      <c r="E6" s="122">
        <v>1978</v>
      </c>
      <c r="F6" s="122">
        <v>1981</v>
      </c>
      <c r="G6" s="122">
        <v>1981</v>
      </c>
      <c r="H6" s="122">
        <v>1979</v>
      </c>
      <c r="I6" s="122">
        <f>'N63532'!B13</f>
        <v>1975</v>
      </c>
      <c r="J6" s="122">
        <f>N6690S!B13</f>
        <v>1967</v>
      </c>
      <c r="K6" s="13"/>
      <c r="L6" s="13"/>
      <c r="M6" s="13"/>
      <c r="N6" s="13"/>
    </row>
    <row r="7" spans="1:22" s="14" customFormat="1" ht="18" customHeight="1">
      <c r="A7" s="118" t="s">
        <v>26</v>
      </c>
      <c r="B7" s="119" t="s">
        <v>27</v>
      </c>
      <c r="C7" s="119" t="s">
        <v>28</v>
      </c>
      <c r="D7" s="119" t="s">
        <v>126</v>
      </c>
      <c r="E7" s="119" t="s">
        <v>29</v>
      </c>
      <c r="F7" s="119" t="s">
        <v>30</v>
      </c>
      <c r="G7" s="119" t="s">
        <v>30</v>
      </c>
      <c r="H7" s="119" t="s">
        <v>30</v>
      </c>
      <c r="I7" s="119" t="str">
        <f>'N63532'!E11</f>
        <v>W/R</v>
      </c>
      <c r="J7" s="119" t="str">
        <f>N6690S!$E$11</f>
        <v>W/B</v>
      </c>
      <c r="K7" s="13"/>
      <c r="L7" s="13"/>
      <c r="M7" s="13"/>
      <c r="N7" s="13"/>
    </row>
    <row r="8" spans="1:22" s="14" customFormat="1" ht="18" customHeight="1">
      <c r="A8" s="118" t="s">
        <v>31</v>
      </c>
      <c r="B8" s="119" t="s">
        <v>32</v>
      </c>
      <c r="C8" s="119" t="s">
        <v>32</v>
      </c>
      <c r="D8" s="119" t="s">
        <v>32</v>
      </c>
      <c r="E8" s="119" t="s">
        <v>32</v>
      </c>
      <c r="F8" s="119" t="s">
        <v>32</v>
      </c>
      <c r="G8" s="119" t="s">
        <v>32</v>
      </c>
      <c r="H8" s="119" t="s">
        <v>32</v>
      </c>
      <c r="I8" s="119" t="s">
        <v>32</v>
      </c>
      <c r="J8" s="119" t="s">
        <v>32</v>
      </c>
      <c r="K8" s="13"/>
      <c r="L8" s="13"/>
      <c r="M8" s="13"/>
      <c r="N8" s="13"/>
    </row>
    <row r="9" spans="1:22" s="14" customFormat="1" ht="18" customHeight="1">
      <c r="A9" s="118" t="s">
        <v>33</v>
      </c>
      <c r="B9" s="123">
        <v>2750</v>
      </c>
      <c r="C9" s="123">
        <v>2325</v>
      </c>
      <c r="D9" s="123">
        <v>2550</v>
      </c>
      <c r="E9" s="123">
        <v>2325</v>
      </c>
      <c r="F9" s="123">
        <v>2550</v>
      </c>
      <c r="G9" s="123">
        <v>2400</v>
      </c>
      <c r="H9" s="123">
        <v>2300</v>
      </c>
      <c r="I9" s="123">
        <v>1600</v>
      </c>
      <c r="J9" s="123">
        <v>1600</v>
      </c>
      <c r="K9" s="13"/>
      <c r="L9" s="13"/>
      <c r="M9" s="13"/>
      <c r="N9" s="13"/>
    </row>
    <row r="10" spans="1:22" s="14" customFormat="1" ht="18" customHeight="1">
      <c r="A10" s="118" t="s">
        <v>34</v>
      </c>
      <c r="B10" s="124">
        <f>N780FM!C15</f>
        <v>1803.05</v>
      </c>
      <c r="C10" s="123">
        <f>'N31669'!C15</f>
        <v>1496.48</v>
      </c>
      <c r="D10" s="123">
        <f>N2846N!C15</f>
        <v>1542.53</v>
      </c>
      <c r="E10" s="123">
        <f>N3037E!C15</f>
        <v>1526</v>
      </c>
      <c r="F10" s="124">
        <f>N782FM!C15</f>
        <v>1530.29</v>
      </c>
      <c r="G10" s="123">
        <f>N783FM!C15</f>
        <v>1474.4</v>
      </c>
      <c r="H10" s="123">
        <f>N4846G!C15</f>
        <v>1465.6</v>
      </c>
      <c r="I10" s="123">
        <f>'N63532'!C15</f>
        <v>1134.55</v>
      </c>
      <c r="J10" s="123">
        <f>N6690S!$C$15</f>
        <v>1094.2</v>
      </c>
      <c r="K10" s="13"/>
      <c r="L10" s="13"/>
      <c r="M10" s="13"/>
      <c r="N10" s="13"/>
    </row>
    <row r="11" spans="1:22" s="32" customFormat="1" ht="18" customHeight="1">
      <c r="A11" s="121" t="s">
        <v>35</v>
      </c>
      <c r="B11" s="123">
        <f>N780FM!D15</f>
        <v>87.641518538032784</v>
      </c>
      <c r="C11" s="123">
        <f>'N31669'!D15</f>
        <v>87.097455361915962</v>
      </c>
      <c r="D11" s="123">
        <f>N2846N!D15</f>
        <v>87.739434565292086</v>
      </c>
      <c r="E11" s="123">
        <f>N3037E!D15</f>
        <v>90.218217562254253</v>
      </c>
      <c r="F11" s="123">
        <f>N782FM!D15</f>
        <v>38.02399545184246</v>
      </c>
      <c r="G11" s="123">
        <f>N783FM!D15</f>
        <v>39.118068366793267</v>
      </c>
      <c r="H11" s="123">
        <f>N4846G!D15</f>
        <v>39.482812500000001</v>
      </c>
      <c r="I11" s="123">
        <f>'N63532'!D15</f>
        <v>32.4</v>
      </c>
      <c r="J11" s="123">
        <f>N6690S!$D$15</f>
        <v>33.140696399195761</v>
      </c>
      <c r="K11" s="31"/>
      <c r="L11" s="31"/>
      <c r="M11" s="31"/>
      <c r="N11" s="31"/>
    </row>
    <row r="12" spans="1:22" s="14" customFormat="1" ht="18" customHeight="1">
      <c r="A12" s="118" t="s">
        <v>36</v>
      </c>
      <c r="B12" s="124">
        <f>B9-B10</f>
        <v>946.95</v>
      </c>
      <c r="C12" s="123">
        <f t="shared" ref="C12:I12" si="0">C9-C10</f>
        <v>828.52</v>
      </c>
      <c r="D12" s="123">
        <f t="shared" si="0"/>
        <v>1007.47</v>
      </c>
      <c r="E12" s="123">
        <f t="shared" ref="E12" si="1">E9-E10</f>
        <v>799</v>
      </c>
      <c r="F12" s="124">
        <f t="shared" si="0"/>
        <v>1019.71</v>
      </c>
      <c r="G12" s="123">
        <f t="shared" si="0"/>
        <v>925.59999999999991</v>
      </c>
      <c r="H12" s="123">
        <f t="shared" ref="H12" si="2">H9-H10</f>
        <v>834.40000000000009</v>
      </c>
      <c r="I12" s="123">
        <f t="shared" si="0"/>
        <v>465.45000000000005</v>
      </c>
      <c r="J12" s="123">
        <f t="shared" ref="J12" si="3">J9-J10</f>
        <v>505.79999999999995</v>
      </c>
      <c r="K12" s="13"/>
      <c r="L12" s="13"/>
      <c r="M12" s="13"/>
      <c r="N12" s="13"/>
    </row>
    <row r="13" spans="1:22" s="14" customFormat="1" ht="18" customHeight="1">
      <c r="A13" s="118" t="s">
        <v>37</v>
      </c>
      <c r="B13" s="123">
        <f>N780FM!E15</f>
        <v>158022.04</v>
      </c>
      <c r="C13" s="123">
        <f>'N31669'!E15</f>
        <v>130339.6</v>
      </c>
      <c r="D13" s="123">
        <f>N2846N!E15</f>
        <v>135340.71</v>
      </c>
      <c r="E13" s="123">
        <f>N3037E!E15</f>
        <v>137673</v>
      </c>
      <c r="F13" s="123">
        <f>N782FM!E15</f>
        <v>58187.74</v>
      </c>
      <c r="G13" s="123">
        <f>N783FM!E15</f>
        <v>57675.68</v>
      </c>
      <c r="H13" s="123">
        <f>N4846G!E15</f>
        <v>57866.01</v>
      </c>
      <c r="I13" s="123">
        <f>'N63532'!E15</f>
        <v>36759.42</v>
      </c>
      <c r="J13" s="123">
        <f>N6690S!E15</f>
        <v>36262.550000000003</v>
      </c>
      <c r="K13" s="13"/>
      <c r="L13" s="13"/>
      <c r="M13" s="13"/>
      <c r="N13" s="13"/>
    </row>
    <row r="14" spans="1:22" s="14" customFormat="1" ht="18" customHeight="1">
      <c r="A14" s="118" t="s">
        <v>38</v>
      </c>
      <c r="B14" s="125">
        <v>200</v>
      </c>
      <c r="C14" s="125">
        <v>160</v>
      </c>
      <c r="D14" s="125">
        <v>180</v>
      </c>
      <c r="E14" s="125">
        <v>160</v>
      </c>
      <c r="F14" s="126">
        <v>180</v>
      </c>
      <c r="G14" s="125">
        <v>160</v>
      </c>
      <c r="H14" s="125">
        <v>160</v>
      </c>
      <c r="I14" s="125">
        <v>100</v>
      </c>
      <c r="J14" s="125">
        <v>100</v>
      </c>
      <c r="K14" s="13"/>
      <c r="L14" s="13"/>
      <c r="M14" s="13"/>
      <c r="N14" s="13"/>
    </row>
    <row r="15" spans="1:22" s="14" customFormat="1" ht="18" customHeight="1">
      <c r="A15" s="118" t="s">
        <v>39</v>
      </c>
      <c r="B15" s="125">
        <v>72</v>
      </c>
      <c r="C15" s="125">
        <v>48</v>
      </c>
      <c r="D15" s="125">
        <v>48</v>
      </c>
      <c r="E15" s="125">
        <v>48</v>
      </c>
      <c r="F15" s="126">
        <v>40</v>
      </c>
      <c r="G15" s="126">
        <v>50</v>
      </c>
      <c r="H15" s="126">
        <v>50</v>
      </c>
      <c r="I15" s="127">
        <v>22.5</v>
      </c>
      <c r="J15" s="127">
        <v>22.5</v>
      </c>
      <c r="K15" s="13"/>
      <c r="L15" s="13"/>
      <c r="M15" s="13"/>
      <c r="N15" s="13"/>
    </row>
    <row r="16" spans="1:22" s="14" customFormat="1" ht="18" customHeight="1">
      <c r="A16" s="118" t="s">
        <v>40</v>
      </c>
      <c r="B16" s="125">
        <v>30</v>
      </c>
      <c r="C16" s="125">
        <v>26</v>
      </c>
      <c r="D16" s="125">
        <v>26</v>
      </c>
      <c r="E16" s="125">
        <v>26</v>
      </c>
      <c r="F16" s="126">
        <v>26</v>
      </c>
      <c r="G16" s="126">
        <v>26</v>
      </c>
      <c r="H16" s="126">
        <v>26</v>
      </c>
      <c r="I16" s="128">
        <v>26</v>
      </c>
      <c r="J16" s="128">
        <v>26</v>
      </c>
      <c r="K16" s="13"/>
      <c r="L16" s="13"/>
      <c r="M16" s="13"/>
      <c r="N16" s="13"/>
    </row>
    <row r="17" spans="1:14" s="14" customFormat="1" ht="18" customHeight="1">
      <c r="A17" s="121" t="s">
        <v>41</v>
      </c>
      <c r="B17" s="119" t="s">
        <v>42</v>
      </c>
      <c r="C17" s="126">
        <v>15</v>
      </c>
      <c r="D17" s="126">
        <v>15</v>
      </c>
      <c r="E17" s="126">
        <v>15</v>
      </c>
      <c r="F17" s="126">
        <v>15</v>
      </c>
      <c r="G17" s="126">
        <v>15</v>
      </c>
      <c r="H17" s="126">
        <v>15</v>
      </c>
      <c r="I17" s="128">
        <v>10</v>
      </c>
      <c r="J17" s="128">
        <v>10</v>
      </c>
      <c r="K17" s="13"/>
      <c r="L17" s="13"/>
      <c r="M17" s="13"/>
      <c r="N17" s="13"/>
    </row>
    <row r="18" spans="1:14" s="14" customFormat="1" ht="18" customHeight="1">
      <c r="A18" s="118" t="s">
        <v>43</v>
      </c>
      <c r="B18" s="125">
        <v>17</v>
      </c>
      <c r="C18" s="126">
        <v>17</v>
      </c>
      <c r="D18" s="126">
        <v>17</v>
      </c>
      <c r="E18" s="126">
        <v>17</v>
      </c>
      <c r="F18" s="126">
        <v>15</v>
      </c>
      <c r="G18" s="126">
        <v>15</v>
      </c>
      <c r="H18" s="126">
        <v>15</v>
      </c>
      <c r="I18" s="128">
        <v>12</v>
      </c>
      <c r="J18" s="128">
        <v>12</v>
      </c>
      <c r="K18" s="13"/>
      <c r="L18" s="13"/>
      <c r="M18" s="13"/>
      <c r="N18" s="13"/>
    </row>
    <row r="19" spans="1:14" s="14" customFormat="1" ht="18" customHeight="1">
      <c r="A19" s="118" t="s">
        <v>44</v>
      </c>
      <c r="B19" s="122" t="s">
        <v>42</v>
      </c>
      <c r="C19" s="129">
        <v>8</v>
      </c>
      <c r="D19" s="129">
        <v>8</v>
      </c>
      <c r="E19" s="129">
        <v>8</v>
      </c>
      <c r="F19" s="129">
        <v>8</v>
      </c>
      <c r="G19" s="129">
        <v>8</v>
      </c>
      <c r="H19" s="129">
        <v>8</v>
      </c>
      <c r="I19" s="122">
        <v>6</v>
      </c>
      <c r="J19" s="122">
        <v>6</v>
      </c>
      <c r="K19" s="13"/>
      <c r="L19" s="13"/>
      <c r="M19" s="13"/>
      <c r="N19" s="13"/>
    </row>
    <row r="20" spans="1:14" s="13" customFormat="1" ht="18" customHeight="1">
      <c r="A20" s="118" t="s">
        <v>45</v>
      </c>
      <c r="B20" s="125">
        <v>4</v>
      </c>
      <c r="C20" s="126">
        <v>4</v>
      </c>
      <c r="D20" s="126">
        <v>4</v>
      </c>
      <c r="E20" s="126">
        <v>4</v>
      </c>
      <c r="F20" s="126">
        <v>4</v>
      </c>
      <c r="G20" s="126">
        <v>4</v>
      </c>
      <c r="H20" s="126">
        <v>4</v>
      </c>
      <c r="I20" s="128">
        <v>2</v>
      </c>
      <c r="J20" s="128">
        <v>2</v>
      </c>
    </row>
    <row r="21" spans="1:14" s="13" customFormat="1" ht="18" customHeight="1">
      <c r="A21" s="118" t="s">
        <v>46</v>
      </c>
      <c r="B21" s="130">
        <f>N780FM!B15</f>
        <v>44508</v>
      </c>
      <c r="C21" s="130">
        <f>'N31669'!B15</f>
        <v>42058</v>
      </c>
      <c r="D21" s="130">
        <f>N2846N!B15</f>
        <v>45356</v>
      </c>
      <c r="E21" s="130">
        <f>N3037E!B15</f>
        <v>42639</v>
      </c>
      <c r="F21" s="130">
        <f>N782FM!B15</f>
        <v>42661</v>
      </c>
      <c r="G21" s="130">
        <f>N783FM!B15</f>
        <v>43559</v>
      </c>
      <c r="H21" s="130">
        <f>N4846G!B15</f>
        <v>39222</v>
      </c>
      <c r="I21" s="130">
        <f>'N63532'!B15</f>
        <v>43280</v>
      </c>
      <c r="J21" s="130">
        <f>N6690S!B15</f>
        <v>43784</v>
      </c>
    </row>
    <row r="22" spans="1:14" s="12" customFormat="1">
      <c r="A22" s="12" t="s">
        <v>47</v>
      </c>
    </row>
    <row r="23" spans="1:14" s="12" customFormat="1"/>
    <row r="24" spans="1:14" s="12" customFormat="1"/>
    <row r="25" spans="1:14" s="12" customFormat="1"/>
    <row r="26" spans="1:14" s="12" customFormat="1"/>
    <row r="27" spans="1:14" s="12" customFormat="1"/>
    <row r="28" spans="1:14">
      <c r="A28" s="12"/>
      <c r="B28" s="12"/>
      <c r="C28" s="12"/>
      <c r="D28" s="12"/>
      <c r="E28" s="12"/>
    </row>
    <row r="29" spans="1:14">
      <c r="A29" s="12"/>
      <c r="B29" s="12"/>
      <c r="C29" s="12"/>
      <c r="D29" s="12"/>
      <c r="E29" s="12"/>
    </row>
    <row r="30" spans="1:14">
      <c r="A30" s="12"/>
      <c r="B30" s="12"/>
      <c r="C30" s="12"/>
      <c r="D30" s="12"/>
      <c r="E30" s="12"/>
    </row>
    <row r="31" spans="1:14">
      <c r="A31" s="12"/>
      <c r="B31" s="12"/>
      <c r="C31" s="12"/>
      <c r="D31" s="12"/>
      <c r="E31" s="12"/>
    </row>
    <row r="32" spans="1:14">
      <c r="A32" s="12"/>
      <c r="B32" s="12"/>
      <c r="C32" s="12" t="s">
        <v>48</v>
      </c>
      <c r="D32" s="12"/>
      <c r="E32" s="12"/>
    </row>
    <row r="33" spans="1:5">
      <c r="A33" s="12"/>
      <c r="B33" s="12"/>
      <c r="C33" s="12" t="s">
        <v>48</v>
      </c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</sheetData>
  <mergeCells count="1">
    <mergeCell ref="A1:J1"/>
  </mergeCells>
  <phoneticPr fontId="4" type="noConversion"/>
  <pageMargins left="0.69" right="0.5" top="1" bottom="1" header="0.51180555555555596" footer="0.51180555555555596"/>
  <pageSetup scale="88" firstPageNumber="0" orientation="landscape" horizontalDpi="300" verticalDpi="300" r:id="rId1"/>
  <headerFooter alignWithMargins="0"/>
  <webPublishItems count="1">
    <webPublishItem id="19077" divId="wb_15Jan2011_19077" sourceType="sheet" destinationFile="C:\Documents and Settings\kjeter1\Desktop\JHUWN\wb_15Jan2011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workbookViewId="0">
      <selection activeCell="A36" sqref="A36"/>
    </sheetView>
  </sheetViews>
  <sheetFormatPr defaultRowHeight="12.75"/>
  <cols>
    <col min="1" max="1" width="12.28515625" customWidth="1"/>
    <col min="2" max="2" width="11.42578125" bestFit="1" customWidth="1"/>
  </cols>
  <sheetData>
    <row r="1" spans="1:15" ht="13.5" thickBot="1">
      <c r="A1" s="138" t="str">
        <f>+B11&amp;" Center of Gravity Limits"</f>
        <v>N6690S Center of Gravity Limits</v>
      </c>
      <c r="B1" s="138"/>
      <c r="C1" s="138"/>
      <c r="D1" s="138"/>
      <c r="E1" s="138"/>
      <c r="F1" s="138"/>
      <c r="G1" s="11"/>
      <c r="H1" s="138" t="s">
        <v>49</v>
      </c>
      <c r="I1" s="138"/>
      <c r="J1" s="138"/>
      <c r="K1" s="138"/>
      <c r="L1" s="138"/>
      <c r="M1" s="138"/>
      <c r="N1" s="40"/>
      <c r="O1" s="6"/>
    </row>
    <row r="2" spans="1:15" ht="13.5" thickBot="1">
      <c r="A2" s="103"/>
      <c r="B2" s="104" t="s">
        <v>109</v>
      </c>
      <c r="C2" s="105"/>
      <c r="D2" s="99"/>
      <c r="E2" s="100" t="s">
        <v>110</v>
      </c>
      <c r="F2" s="101"/>
      <c r="G2" s="11"/>
      <c r="H2" s="11"/>
      <c r="I2" s="11"/>
      <c r="J2" s="11"/>
      <c r="K2" s="11"/>
      <c r="L2" s="11"/>
      <c r="M2" s="11"/>
      <c r="N2" s="40"/>
      <c r="O2" s="6"/>
    </row>
    <row r="3" spans="1:15" ht="13.5" thickBot="1">
      <c r="A3" s="3" t="s">
        <v>52</v>
      </c>
      <c r="B3" s="3" t="s">
        <v>53</v>
      </c>
      <c r="C3" s="3" t="s">
        <v>54</v>
      </c>
      <c r="D3" s="101" t="s">
        <v>52</v>
      </c>
      <c r="E3" s="101" t="s">
        <v>54</v>
      </c>
      <c r="F3" s="101" t="s">
        <v>53</v>
      </c>
      <c r="G3" s="11"/>
      <c r="H3" s="69"/>
      <c r="I3" s="69"/>
      <c r="J3" s="139"/>
      <c r="K3" s="139"/>
      <c r="L3" s="69"/>
      <c r="M3" s="69"/>
      <c r="N3" s="40"/>
      <c r="O3" s="6"/>
    </row>
    <row r="4" spans="1:15" ht="13.5" thickBot="1">
      <c r="A4" s="3"/>
      <c r="B4" s="34"/>
      <c r="C4" s="3"/>
      <c r="D4" s="101">
        <v>1100</v>
      </c>
      <c r="E4" s="102">
        <f t="shared" ref="E4:E9" si="0">F4/D4</f>
        <v>31.454545454545453</v>
      </c>
      <c r="F4" s="101">
        <v>34600</v>
      </c>
      <c r="G4" s="11"/>
      <c r="H4" s="69"/>
      <c r="I4" s="69"/>
      <c r="J4" s="69"/>
      <c r="K4" s="69"/>
      <c r="L4" s="69"/>
      <c r="M4" s="69"/>
      <c r="N4" s="40"/>
      <c r="O4" s="6"/>
    </row>
    <row r="5" spans="1:15" ht="13.5" thickBot="1">
      <c r="A5" s="3"/>
      <c r="B5" s="34"/>
      <c r="C5" s="3"/>
      <c r="D5" s="101">
        <v>1300</v>
      </c>
      <c r="E5" s="102">
        <f t="shared" si="0"/>
        <v>31.53846153846154</v>
      </c>
      <c r="F5" s="101">
        <v>41000</v>
      </c>
      <c r="G5" s="11"/>
      <c r="H5" s="69"/>
      <c r="I5" s="69"/>
      <c r="J5" s="69"/>
      <c r="K5" s="69"/>
      <c r="L5" s="69"/>
      <c r="M5" s="69"/>
      <c r="N5" s="40"/>
      <c r="O5" s="6"/>
    </row>
    <row r="6" spans="1:15" ht="13.5" thickBot="1">
      <c r="A6" s="3"/>
      <c r="B6" s="34"/>
      <c r="C6" s="3"/>
      <c r="D6" s="101">
        <v>1600</v>
      </c>
      <c r="E6" s="102">
        <f t="shared" si="0"/>
        <v>32.8125</v>
      </c>
      <c r="F6" s="101">
        <v>52500</v>
      </c>
      <c r="G6" s="11"/>
      <c r="H6" s="69"/>
      <c r="I6" s="69"/>
      <c r="J6" s="69"/>
      <c r="K6" s="69"/>
      <c r="L6" s="69"/>
      <c r="M6" s="69"/>
      <c r="N6" s="40"/>
      <c r="O6" s="6"/>
    </row>
    <row r="7" spans="1:15" ht="13.5" thickBot="1">
      <c r="A7" s="3"/>
      <c r="B7" s="34"/>
      <c r="C7" s="3"/>
      <c r="D7" s="101">
        <v>1600</v>
      </c>
      <c r="E7" s="102">
        <f t="shared" si="0"/>
        <v>37.5</v>
      </c>
      <c r="F7" s="101">
        <v>60000</v>
      </c>
      <c r="G7" s="11"/>
      <c r="H7" s="69"/>
      <c r="I7" s="69"/>
      <c r="J7" s="69"/>
      <c r="K7" s="69"/>
      <c r="L7" s="69"/>
      <c r="M7" s="69"/>
      <c r="N7" s="40"/>
      <c r="O7" s="6"/>
    </row>
    <row r="8" spans="1:15" ht="13.5" thickBot="1">
      <c r="A8" s="3"/>
      <c r="B8" s="34"/>
      <c r="C8" s="3"/>
      <c r="D8" s="101">
        <v>1100</v>
      </c>
      <c r="E8" s="102">
        <f t="shared" si="0"/>
        <v>37.454545454545453</v>
      </c>
      <c r="F8" s="101">
        <v>41200</v>
      </c>
      <c r="G8" s="11"/>
      <c r="H8" s="69"/>
      <c r="I8" s="69"/>
      <c r="J8" s="69"/>
      <c r="K8" s="69"/>
      <c r="L8" s="69"/>
      <c r="M8" s="69"/>
      <c r="N8" s="40"/>
      <c r="O8" s="6"/>
    </row>
    <row r="9" spans="1:15" ht="13.5" thickBot="1">
      <c r="A9" s="3"/>
      <c r="B9" s="34"/>
      <c r="C9" s="3"/>
      <c r="D9" s="101">
        <v>1100</v>
      </c>
      <c r="E9" s="102">
        <f t="shared" si="0"/>
        <v>31.454545454545453</v>
      </c>
      <c r="F9" s="101">
        <v>34600</v>
      </c>
      <c r="G9" s="11"/>
      <c r="H9" s="69"/>
      <c r="I9" s="69"/>
      <c r="J9" s="69"/>
      <c r="K9" s="69"/>
      <c r="L9" s="69"/>
      <c r="M9" s="69"/>
      <c r="N9" s="40"/>
      <c r="O9" s="6"/>
    </row>
    <row r="10" spans="1:15" ht="13.5" thickBot="1">
      <c r="A10" s="5"/>
      <c r="B10" s="5"/>
      <c r="C10" s="5"/>
      <c r="D10" s="5"/>
      <c r="E10" s="5"/>
      <c r="F10" s="5"/>
      <c r="G10" s="11"/>
      <c r="H10" s="69"/>
      <c r="I10" s="69"/>
      <c r="J10" s="69"/>
      <c r="K10" s="69"/>
      <c r="L10" s="69"/>
      <c r="M10" s="69"/>
      <c r="N10" s="40"/>
      <c r="O10" s="6"/>
    </row>
    <row r="11" spans="1:15" ht="13.5" thickBot="1">
      <c r="A11" s="19" t="s">
        <v>55</v>
      </c>
      <c r="B11" s="52" t="s">
        <v>8</v>
      </c>
      <c r="C11" s="51"/>
      <c r="D11" s="70" t="s">
        <v>26</v>
      </c>
      <c r="E11" s="91" t="s">
        <v>29</v>
      </c>
      <c r="F11" s="11"/>
      <c r="G11" s="11"/>
      <c r="H11" s="69"/>
      <c r="I11" s="69"/>
      <c r="J11" s="69"/>
      <c r="K11" s="69"/>
      <c r="L11" s="69"/>
      <c r="M11" s="69"/>
      <c r="N11" s="40"/>
      <c r="O11" s="6"/>
    </row>
    <row r="12" spans="1:15" ht="26.25" thickBot="1">
      <c r="A12" s="108" t="s">
        <v>56</v>
      </c>
      <c r="B12" s="71" t="s">
        <v>13</v>
      </c>
      <c r="C12" s="7"/>
      <c r="D12" s="72" t="s">
        <v>57</v>
      </c>
      <c r="E12" s="54">
        <v>22.5</v>
      </c>
      <c r="F12" s="55" t="s">
        <v>58</v>
      </c>
      <c r="G12" s="11"/>
      <c r="H12" s="69"/>
      <c r="I12" s="69"/>
      <c r="J12" s="69"/>
      <c r="K12" s="69"/>
      <c r="L12" s="69"/>
      <c r="M12" s="69"/>
      <c r="N12" s="40"/>
      <c r="O12" s="6"/>
    </row>
    <row r="13" spans="1:15" ht="26.25" thickBot="1">
      <c r="A13" s="108" t="s">
        <v>25</v>
      </c>
      <c r="B13" s="71">
        <v>1967</v>
      </c>
      <c r="C13" s="8"/>
      <c r="D13" s="73" t="s">
        <v>59</v>
      </c>
      <c r="E13" s="116" t="s">
        <v>121</v>
      </c>
      <c r="F13" s="111"/>
      <c r="G13" s="11"/>
      <c r="H13" s="69"/>
      <c r="I13" s="69"/>
      <c r="J13" s="69"/>
      <c r="K13" s="69"/>
      <c r="L13" s="69"/>
      <c r="M13" s="69"/>
      <c r="N13" s="40"/>
      <c r="O13" s="6"/>
    </row>
    <row r="14" spans="1:15" ht="13.5" thickBot="1">
      <c r="A14" s="51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69"/>
      <c r="I14" s="69"/>
      <c r="J14" s="69"/>
      <c r="K14" s="69"/>
      <c r="L14" s="69"/>
      <c r="M14" s="69"/>
      <c r="N14" s="40"/>
      <c r="O14" s="6"/>
    </row>
    <row r="15" spans="1:15" ht="13.5" thickBot="1">
      <c r="A15" s="18" t="s">
        <v>83</v>
      </c>
      <c r="B15" s="109">
        <v>43784</v>
      </c>
      <c r="C15" s="59">
        <v>1094.2</v>
      </c>
      <c r="D15" s="25">
        <f>E15/C15</f>
        <v>33.140696399195761</v>
      </c>
      <c r="E15" s="2">
        <v>36262.550000000003</v>
      </c>
      <c r="F15" s="62"/>
      <c r="G15" s="11"/>
      <c r="H15" s="69"/>
      <c r="I15" s="69"/>
      <c r="J15" s="69"/>
      <c r="K15" s="69"/>
      <c r="L15" s="69"/>
      <c r="M15" s="69"/>
      <c r="N15" s="40"/>
      <c r="O15" s="6"/>
    </row>
    <row r="16" spans="1:15" ht="14.25" thickTop="1" thickBot="1">
      <c r="A16" s="15" t="s">
        <v>84</v>
      </c>
      <c r="B16" s="38">
        <v>22.5</v>
      </c>
      <c r="C16" s="39">
        <f>+B16*6</f>
        <v>135</v>
      </c>
      <c r="D16" s="36">
        <v>42.222000000000001</v>
      </c>
      <c r="E16" s="10">
        <f t="shared" ref="E16:E21" si="1">D16*C16</f>
        <v>5699.97</v>
      </c>
      <c r="F16" s="62"/>
      <c r="G16" s="11"/>
      <c r="H16" s="69"/>
      <c r="I16" s="69"/>
      <c r="J16" s="69"/>
      <c r="K16" s="69"/>
      <c r="L16" s="69"/>
      <c r="M16" s="69"/>
      <c r="N16" s="40"/>
      <c r="O16" s="6"/>
    </row>
    <row r="17" spans="1:15" ht="14.25" thickTop="1" thickBot="1">
      <c r="A17" s="15" t="s">
        <v>113</v>
      </c>
      <c r="B17" s="33"/>
      <c r="C17" s="37">
        <v>11</v>
      </c>
      <c r="D17" s="36">
        <v>-9.0909999999999993</v>
      </c>
      <c r="E17" s="10">
        <f t="shared" si="1"/>
        <v>-100.00099999999999</v>
      </c>
      <c r="F17" s="62"/>
      <c r="G17" s="11"/>
      <c r="H17" s="69"/>
      <c r="I17" s="69"/>
      <c r="J17" s="69"/>
      <c r="K17" s="69"/>
      <c r="L17" s="69"/>
      <c r="M17" s="69"/>
      <c r="N17" s="40"/>
      <c r="O17" s="6"/>
    </row>
    <row r="18" spans="1:15" ht="14.25" thickTop="1" thickBot="1">
      <c r="A18" s="18" t="s">
        <v>64</v>
      </c>
      <c r="B18" s="28"/>
      <c r="C18" s="9">
        <v>170</v>
      </c>
      <c r="D18" s="36">
        <v>39.118000000000002</v>
      </c>
      <c r="E18" s="10">
        <f t="shared" si="1"/>
        <v>6650.06</v>
      </c>
      <c r="F18" s="62"/>
      <c r="G18" s="11"/>
      <c r="H18" s="69"/>
      <c r="I18" s="69"/>
      <c r="J18" s="69"/>
      <c r="K18" s="69"/>
      <c r="L18" s="69"/>
      <c r="M18" s="69"/>
      <c r="N18" s="40"/>
      <c r="O18" s="6"/>
    </row>
    <row r="19" spans="1:15" ht="14.25" thickTop="1" thickBot="1">
      <c r="A19" s="18" t="s">
        <v>65</v>
      </c>
      <c r="B19" s="35"/>
      <c r="C19" s="9">
        <v>170</v>
      </c>
      <c r="D19" s="36">
        <v>39.118000000000002</v>
      </c>
      <c r="E19" s="10">
        <f t="shared" si="1"/>
        <v>6650.06</v>
      </c>
      <c r="F19" s="62"/>
      <c r="G19" s="11"/>
      <c r="H19" s="69"/>
      <c r="I19" s="69"/>
      <c r="J19" s="69"/>
      <c r="K19" s="69"/>
      <c r="L19" s="69"/>
      <c r="M19" s="69"/>
      <c r="N19" s="40"/>
      <c r="O19" s="6"/>
    </row>
    <row r="20" spans="1:15" ht="14.25" thickTop="1" thickBot="1">
      <c r="A20" s="18" t="s">
        <v>114</v>
      </c>
      <c r="B20" s="35"/>
      <c r="C20" s="9">
        <v>0</v>
      </c>
      <c r="D20" s="36">
        <v>64.444000000000003</v>
      </c>
      <c r="E20" s="10">
        <f t="shared" si="1"/>
        <v>0</v>
      </c>
      <c r="F20" s="62"/>
      <c r="G20" s="11"/>
      <c r="H20" s="69"/>
      <c r="I20" s="69"/>
      <c r="J20" s="69"/>
      <c r="K20" s="69"/>
      <c r="L20" s="69"/>
      <c r="M20" s="69"/>
      <c r="N20" s="40"/>
      <c r="O20" s="6"/>
    </row>
    <row r="21" spans="1:15" ht="14.25" thickTop="1" thickBot="1">
      <c r="A21" s="18" t="s">
        <v>115</v>
      </c>
      <c r="B21" s="35"/>
      <c r="C21" s="9">
        <v>0</v>
      </c>
      <c r="D21" s="36">
        <v>85.713999999999999</v>
      </c>
      <c r="E21" s="10">
        <f t="shared" si="1"/>
        <v>0</v>
      </c>
      <c r="F21" s="62"/>
      <c r="G21" s="11"/>
      <c r="H21" s="69"/>
      <c r="I21" s="69"/>
      <c r="J21" s="69"/>
      <c r="K21" s="69"/>
      <c r="L21" s="69"/>
      <c r="M21" s="69"/>
      <c r="N21" s="40"/>
      <c r="O21" s="6"/>
    </row>
    <row r="22" spans="1:15" ht="13.5" thickBot="1">
      <c r="A22" s="74"/>
      <c r="B22" s="75"/>
      <c r="C22" s="22" t="s">
        <v>52</v>
      </c>
      <c r="D22" s="4" t="s">
        <v>53</v>
      </c>
      <c r="E22" s="4" t="s">
        <v>54</v>
      </c>
      <c r="F22" s="11"/>
      <c r="G22" s="11"/>
      <c r="H22" s="69"/>
      <c r="I22" s="69"/>
      <c r="J22" s="69"/>
      <c r="K22" s="69"/>
      <c r="L22" s="69"/>
      <c r="M22" s="69"/>
      <c r="N22" s="40"/>
      <c r="O22" s="6"/>
    </row>
    <row r="23" spans="1:15" ht="13.5" thickBot="1">
      <c r="A23" s="18" t="s">
        <v>69</v>
      </c>
      <c r="B23" s="76"/>
      <c r="C23" s="24">
        <f>SUM(C15:C21)</f>
        <v>1580.2</v>
      </c>
      <c r="D23" s="36">
        <f>+E23/C23</f>
        <v>34.908643842551577</v>
      </c>
      <c r="E23" s="10">
        <f>SUM(E15:E21)</f>
        <v>55162.639000000003</v>
      </c>
      <c r="F23" s="62"/>
      <c r="G23" s="11"/>
      <c r="H23" s="11"/>
      <c r="I23" s="11"/>
      <c r="J23" s="11"/>
      <c r="K23" s="11"/>
      <c r="L23" s="11"/>
      <c r="M23" s="11"/>
      <c r="N23" s="40"/>
      <c r="O23" s="6"/>
    </row>
    <row r="24" spans="1:15" ht="13.5" thickBot="1">
      <c r="A24" s="18" t="s">
        <v>71</v>
      </c>
      <c r="B24" s="76"/>
      <c r="C24" s="24">
        <f>SUM(C15:C21)-ROUNDUP((1.7*6),0)</f>
        <v>1569.2</v>
      </c>
      <c r="D24" s="36">
        <f>+E24/C24</f>
        <v>34.878903007902117</v>
      </c>
      <c r="E24" s="10">
        <f>SUM(E17:E21)+E15+((+B16-1.7)*6*D16)</f>
        <v>54731.974600000001</v>
      </c>
      <c r="F24" s="62"/>
      <c r="G24" s="11"/>
      <c r="H24" s="11"/>
      <c r="I24" s="11"/>
      <c r="J24" s="11"/>
      <c r="K24" s="11"/>
      <c r="L24" s="11"/>
      <c r="M24" s="11"/>
      <c r="N24" s="40"/>
      <c r="O24" s="6"/>
    </row>
    <row r="25" spans="1:15" ht="13.5" thickBot="1">
      <c r="A25" s="18" t="s">
        <v>72</v>
      </c>
      <c r="B25" s="76"/>
      <c r="C25" s="24">
        <f>SUM(C17:C21)+C15</f>
        <v>1445.2</v>
      </c>
      <c r="D25" s="36">
        <f>+E25/C25</f>
        <v>34.225483670080266</v>
      </c>
      <c r="E25" s="10">
        <f>SUM(E17:E21)+E15</f>
        <v>49462.669000000002</v>
      </c>
      <c r="F25" s="62"/>
      <c r="G25" s="11"/>
      <c r="H25" s="11"/>
      <c r="I25" s="11"/>
      <c r="J25" s="11"/>
      <c r="K25" s="11"/>
      <c r="L25" s="11"/>
      <c r="M25" s="11"/>
      <c r="N25" s="40"/>
      <c r="O25" s="6"/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  <c r="O26" s="6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  <c r="O27" s="6"/>
    </row>
    <row r="28" spans="1:15">
      <c r="A28" s="11" t="s">
        <v>116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117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118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119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100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120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"/>
    </row>
    <row r="35" spans="1:15" ht="13.5" thickTop="1">
      <c r="A35" s="6"/>
      <c r="B35" s="6"/>
      <c r="C35" s="6"/>
      <c r="D35" s="6"/>
      <c r="E35" s="6"/>
      <c r="F35" s="6" t="s">
        <v>48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mergeCells count="3">
    <mergeCell ref="A1:F1"/>
    <mergeCell ref="H1:M1"/>
    <mergeCell ref="J3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73"/>
  <sheetViews>
    <sheetView zoomScale="87" zoomScaleNormal="87" workbookViewId="0">
      <selection activeCell="D23" sqref="D23"/>
    </sheetView>
  </sheetViews>
  <sheetFormatPr defaultColWidth="8.140625" defaultRowHeight="12.75"/>
  <cols>
    <col min="1" max="1" width="15" customWidth="1"/>
    <col min="2" max="2" width="13.5703125" customWidth="1"/>
    <col min="3" max="3" width="9.28515625" customWidth="1"/>
    <col min="4" max="4" width="10.7109375" customWidth="1"/>
    <col min="5" max="5" width="11.85546875" customWidth="1"/>
    <col min="6" max="6" width="10" customWidth="1"/>
    <col min="7" max="26" width="8.140625" style="6"/>
  </cols>
  <sheetData>
    <row r="1" spans="1:26" ht="13.5" thickBot="1">
      <c r="A1" s="135" t="str">
        <f>+B11&amp;" Center of Gravity Limits"</f>
        <v>N780FM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11"/>
      <c r="O1" s="40"/>
      <c r="R1"/>
      <c r="S1"/>
      <c r="T1"/>
      <c r="U1"/>
      <c r="V1"/>
      <c r="W1"/>
      <c r="X1"/>
      <c r="Y1"/>
      <c r="Z1"/>
    </row>
    <row r="2" spans="1:26" ht="13.5" thickBot="1">
      <c r="A2" s="41"/>
      <c r="B2" s="77" t="s">
        <v>50</v>
      </c>
      <c r="C2" s="43"/>
      <c r="D2" s="44"/>
      <c r="E2" s="94" t="s">
        <v>51</v>
      </c>
      <c r="F2" s="46"/>
      <c r="G2" s="11"/>
      <c r="H2" s="11"/>
      <c r="I2" s="11"/>
      <c r="J2" s="11"/>
      <c r="K2" s="11"/>
      <c r="L2" s="11"/>
      <c r="M2" s="11"/>
      <c r="N2" s="11"/>
      <c r="O2" s="40"/>
      <c r="R2"/>
      <c r="S2"/>
      <c r="T2"/>
      <c r="U2"/>
      <c r="V2"/>
      <c r="W2"/>
      <c r="X2"/>
      <c r="Y2"/>
      <c r="Z2"/>
    </row>
    <row r="3" spans="1:26" ht="13.5" thickBot="1">
      <c r="A3" s="3" t="s">
        <v>52</v>
      </c>
      <c r="B3" s="3" t="s">
        <v>53</v>
      </c>
      <c r="C3" s="3" t="s">
        <v>54</v>
      </c>
      <c r="D3" s="98" t="s">
        <v>52</v>
      </c>
      <c r="E3" s="98" t="s">
        <v>53</v>
      </c>
      <c r="F3" s="98" t="s">
        <v>54</v>
      </c>
      <c r="G3" s="11"/>
      <c r="H3" s="11"/>
      <c r="I3" s="11"/>
      <c r="J3" s="136"/>
      <c r="K3" s="136"/>
      <c r="L3" s="11"/>
      <c r="M3" s="11"/>
      <c r="N3" s="11"/>
      <c r="O3" s="40"/>
      <c r="R3"/>
      <c r="S3"/>
      <c r="T3"/>
      <c r="U3"/>
      <c r="V3"/>
      <c r="W3"/>
      <c r="X3"/>
      <c r="Y3"/>
      <c r="Z3"/>
    </row>
    <row r="4" spans="1:26" ht="13.5" thickBot="1">
      <c r="A4" s="3">
        <v>1400</v>
      </c>
      <c r="B4" s="34">
        <v>82</v>
      </c>
      <c r="C4" s="3">
        <f>+B4*A4</f>
        <v>114800</v>
      </c>
      <c r="D4" s="95"/>
      <c r="E4" s="95"/>
      <c r="F4" s="95"/>
      <c r="G4" s="11"/>
      <c r="H4" s="11"/>
      <c r="I4" s="11"/>
      <c r="J4" s="11"/>
      <c r="K4" s="11"/>
      <c r="L4" s="11"/>
      <c r="M4" s="11"/>
      <c r="N4" s="11"/>
      <c r="O4" s="40"/>
      <c r="R4"/>
      <c r="S4"/>
      <c r="T4"/>
      <c r="U4"/>
      <c r="V4"/>
      <c r="W4"/>
      <c r="X4"/>
      <c r="Y4"/>
      <c r="Z4"/>
    </row>
    <row r="5" spans="1:26" ht="13.5" thickBot="1">
      <c r="A5" s="3">
        <v>2375</v>
      </c>
      <c r="B5" s="34">
        <v>82</v>
      </c>
      <c r="C5" s="3">
        <f>+B5*A5</f>
        <v>194750</v>
      </c>
      <c r="D5" s="95"/>
      <c r="E5" s="95"/>
      <c r="F5" s="95"/>
      <c r="G5" s="11"/>
      <c r="H5" s="11"/>
      <c r="I5" s="11"/>
      <c r="J5" s="11"/>
      <c r="K5" s="11"/>
      <c r="L5" s="11"/>
      <c r="M5" s="11"/>
      <c r="N5" s="11"/>
      <c r="O5" s="40"/>
      <c r="R5"/>
      <c r="S5"/>
      <c r="T5"/>
      <c r="U5"/>
      <c r="V5"/>
      <c r="W5"/>
      <c r="X5"/>
      <c r="Y5"/>
      <c r="Z5"/>
    </row>
    <row r="6" spans="1:26" ht="13.5" thickBot="1">
      <c r="A6" s="3">
        <v>2750</v>
      </c>
      <c r="B6" s="34">
        <v>88.9</v>
      </c>
      <c r="C6" s="3">
        <f>+B6*A6</f>
        <v>244475.00000000003</v>
      </c>
      <c r="D6" s="95"/>
      <c r="E6" s="95"/>
      <c r="F6" s="95"/>
      <c r="G6" s="11"/>
      <c r="H6" s="11"/>
      <c r="I6" s="11"/>
      <c r="J6" s="11"/>
      <c r="K6" s="11"/>
      <c r="L6" s="11"/>
      <c r="M6" s="11"/>
      <c r="N6" s="11"/>
      <c r="O6" s="40"/>
      <c r="R6"/>
      <c r="S6"/>
      <c r="T6"/>
      <c r="U6"/>
      <c r="V6"/>
      <c r="W6"/>
      <c r="X6"/>
      <c r="Y6"/>
      <c r="Z6"/>
    </row>
    <row r="7" spans="1:26" ht="13.5" thickBot="1">
      <c r="A7" s="3">
        <v>2750</v>
      </c>
      <c r="B7" s="34">
        <v>91.5</v>
      </c>
      <c r="C7" s="3">
        <f>+B7*A7</f>
        <v>251625</v>
      </c>
      <c r="D7" s="95"/>
      <c r="E7" s="95"/>
      <c r="F7" s="95"/>
      <c r="G7" s="11"/>
      <c r="H7" s="11"/>
      <c r="I7" s="11"/>
      <c r="J7" s="11"/>
      <c r="K7" s="11"/>
      <c r="L7" s="11"/>
      <c r="M7" s="11"/>
      <c r="N7" s="11"/>
      <c r="O7" s="40"/>
      <c r="R7"/>
      <c r="S7"/>
      <c r="T7"/>
      <c r="U7"/>
      <c r="V7"/>
      <c r="W7"/>
      <c r="X7"/>
      <c r="Y7"/>
      <c r="Z7"/>
    </row>
    <row r="8" spans="1:26" ht="13.5" thickBot="1">
      <c r="A8" s="3">
        <v>1400</v>
      </c>
      <c r="B8" s="34">
        <v>91.5</v>
      </c>
      <c r="C8" s="3">
        <f>+B8*A8</f>
        <v>128100</v>
      </c>
      <c r="D8" s="96"/>
      <c r="E8" s="97"/>
      <c r="F8" s="97"/>
      <c r="G8" s="11"/>
      <c r="H8" s="11"/>
      <c r="I8" s="11"/>
      <c r="J8" s="11"/>
      <c r="K8" s="11"/>
      <c r="L8" s="11"/>
      <c r="M8" s="11"/>
      <c r="N8" s="11"/>
      <c r="O8" s="40"/>
      <c r="R8"/>
      <c r="S8"/>
      <c r="T8"/>
      <c r="U8"/>
      <c r="V8"/>
      <c r="W8"/>
      <c r="X8"/>
      <c r="Y8"/>
      <c r="Z8"/>
    </row>
    <row r="9" spans="1:26">
      <c r="A9" s="5"/>
      <c r="B9" s="5"/>
      <c r="C9" s="5"/>
      <c r="D9" s="5"/>
      <c r="E9" s="5"/>
      <c r="F9" s="5"/>
      <c r="G9" s="11"/>
      <c r="H9" s="11"/>
      <c r="I9" s="11"/>
      <c r="J9" s="11"/>
      <c r="K9" s="11"/>
      <c r="L9" s="11"/>
      <c r="M9" s="11"/>
      <c r="N9" s="11"/>
      <c r="O9" s="40"/>
      <c r="R9"/>
      <c r="S9"/>
      <c r="T9"/>
      <c r="U9"/>
      <c r="V9"/>
      <c r="W9"/>
      <c r="X9"/>
      <c r="Y9"/>
      <c r="Z9"/>
    </row>
    <row r="10" spans="1:26" ht="13.5" thickBot="1">
      <c r="A10" s="5"/>
      <c r="B10" s="5"/>
      <c r="C10" s="5"/>
      <c r="D10" s="5"/>
      <c r="E10" s="5"/>
      <c r="F10" s="5"/>
      <c r="G10" s="11"/>
      <c r="H10" s="11"/>
      <c r="I10" s="11"/>
      <c r="J10" s="11"/>
      <c r="K10" s="11"/>
      <c r="L10" s="11"/>
      <c r="M10" s="11"/>
      <c r="N10" s="11"/>
      <c r="O10" s="40"/>
      <c r="R10"/>
      <c r="S10"/>
      <c r="T10"/>
      <c r="U10"/>
      <c r="V10"/>
      <c r="W10"/>
      <c r="X10"/>
      <c r="Y10"/>
      <c r="Z10"/>
    </row>
    <row r="11" spans="1:26" ht="13.5" thickBot="1">
      <c r="A11" s="78" t="s">
        <v>55</v>
      </c>
      <c r="B11" s="52" t="s">
        <v>1</v>
      </c>
      <c r="C11" s="51"/>
      <c r="D11" s="79" t="s">
        <v>26</v>
      </c>
      <c r="E11" s="52" t="s">
        <v>27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  <c r="R11"/>
      <c r="S11"/>
      <c r="T11"/>
      <c r="U11"/>
      <c r="V11"/>
      <c r="W11"/>
      <c r="X11"/>
      <c r="Y11"/>
      <c r="Z11"/>
    </row>
    <row r="12" spans="1:26" ht="26.25" thickBot="1">
      <c r="A12" s="106" t="s">
        <v>56</v>
      </c>
      <c r="B12" s="71" t="s">
        <v>10</v>
      </c>
      <c r="C12" s="7"/>
      <c r="D12" s="73" t="s">
        <v>57</v>
      </c>
      <c r="E12" s="112">
        <v>72</v>
      </c>
      <c r="F12" s="55" t="s">
        <v>58</v>
      </c>
      <c r="G12" s="11"/>
      <c r="H12" s="11"/>
      <c r="I12" s="11"/>
      <c r="J12" s="11"/>
      <c r="K12" s="11"/>
      <c r="L12" s="11"/>
      <c r="M12" s="11"/>
      <c r="N12" s="11"/>
      <c r="O12" s="40"/>
      <c r="R12"/>
      <c r="S12"/>
      <c r="T12"/>
      <c r="U12"/>
      <c r="V12"/>
      <c r="W12"/>
      <c r="X12"/>
      <c r="Y12"/>
      <c r="Z12"/>
    </row>
    <row r="13" spans="1:26" ht="26.25" thickBot="1">
      <c r="A13" s="106" t="s">
        <v>25</v>
      </c>
      <c r="B13" s="71">
        <v>2002</v>
      </c>
      <c r="C13" s="8"/>
      <c r="D13" s="73" t="s">
        <v>59</v>
      </c>
      <c r="E13" s="113" t="s">
        <v>60</v>
      </c>
      <c r="F13" s="111"/>
      <c r="G13" s="11"/>
      <c r="H13" s="11"/>
      <c r="I13" s="11"/>
      <c r="J13" s="11"/>
      <c r="K13" s="11"/>
      <c r="L13" s="11"/>
      <c r="M13" s="11"/>
      <c r="N13" s="11"/>
      <c r="O13" s="40"/>
      <c r="R13"/>
      <c r="S13"/>
      <c r="T13"/>
      <c r="U13"/>
      <c r="V13"/>
      <c r="W13"/>
      <c r="X13"/>
      <c r="Y13"/>
      <c r="Z13"/>
    </row>
    <row r="14" spans="1:26" ht="13.5" thickBot="1">
      <c r="A14" s="51"/>
      <c r="B14" s="92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  <c r="R14"/>
      <c r="S14"/>
      <c r="T14"/>
      <c r="U14"/>
      <c r="V14"/>
      <c r="W14"/>
      <c r="X14"/>
      <c r="Y14"/>
      <c r="Z14"/>
    </row>
    <row r="15" spans="1:26" ht="13.5" thickBot="1">
      <c r="A15" s="15" t="s">
        <v>62</v>
      </c>
      <c r="B15" s="68">
        <v>44508</v>
      </c>
      <c r="C15" s="59">
        <v>1803.05</v>
      </c>
      <c r="D15" s="25">
        <f>E15/C15</f>
        <v>87.641518538032784</v>
      </c>
      <c r="E15" s="2">
        <v>158022.04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  <c r="R15"/>
      <c r="S15"/>
      <c r="T15"/>
      <c r="U15"/>
      <c r="V15"/>
      <c r="W15"/>
      <c r="X15"/>
      <c r="Y15"/>
      <c r="Z15"/>
    </row>
    <row r="16" spans="1:26" ht="14.25" thickTop="1" thickBot="1">
      <c r="A16" s="15" t="s">
        <v>63</v>
      </c>
      <c r="B16" s="80">
        <v>72</v>
      </c>
      <c r="C16" s="81">
        <f>6*B16</f>
        <v>432</v>
      </c>
      <c r="D16" s="82">
        <v>95</v>
      </c>
      <c r="E16" s="83">
        <f t="shared" ref="E16:E21" si="0">+C16*D16</f>
        <v>41040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  <c r="R16"/>
      <c r="S16"/>
      <c r="T16"/>
      <c r="U16"/>
      <c r="V16"/>
      <c r="W16"/>
      <c r="X16"/>
      <c r="Y16"/>
      <c r="Z16"/>
    </row>
    <row r="17" spans="1:26" ht="14.25" thickTop="1" thickBot="1">
      <c r="A17" s="15" t="s">
        <v>64</v>
      </c>
      <c r="B17" s="28"/>
      <c r="C17" s="84">
        <v>200</v>
      </c>
      <c r="D17" s="82">
        <v>80.5</v>
      </c>
      <c r="E17" s="83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  <c r="R17"/>
      <c r="S17"/>
      <c r="T17"/>
      <c r="U17"/>
      <c r="V17"/>
      <c r="W17"/>
      <c r="X17"/>
      <c r="Y17"/>
      <c r="Z17"/>
    </row>
    <row r="18" spans="1:26" ht="14.25" thickTop="1" thickBot="1">
      <c r="A18" s="15" t="s">
        <v>65</v>
      </c>
      <c r="B18" s="85"/>
      <c r="C18" s="84">
        <v>200</v>
      </c>
      <c r="D18" s="82">
        <v>80.5</v>
      </c>
      <c r="E18" s="83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  <c r="R18"/>
      <c r="S18"/>
      <c r="T18"/>
      <c r="U18"/>
      <c r="V18"/>
      <c r="W18"/>
      <c r="X18"/>
      <c r="Y18"/>
      <c r="Z18"/>
    </row>
    <row r="19" spans="1:26" ht="14.25" thickTop="1" thickBot="1">
      <c r="A19" s="15" t="s">
        <v>66</v>
      </c>
      <c r="B19" s="85"/>
      <c r="C19" s="84">
        <v>0</v>
      </c>
      <c r="D19" s="82">
        <v>118.1</v>
      </c>
      <c r="E19" s="83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  <c r="R19"/>
      <c r="S19"/>
      <c r="T19"/>
      <c r="U19"/>
      <c r="V19"/>
      <c r="W19"/>
      <c r="X19"/>
      <c r="Y19"/>
      <c r="Z19"/>
    </row>
    <row r="20" spans="1:26" ht="14.25" thickTop="1" thickBot="1">
      <c r="A20" s="15" t="s">
        <v>67</v>
      </c>
      <c r="B20" s="85"/>
      <c r="C20" s="84">
        <v>0</v>
      </c>
      <c r="D20" s="82">
        <v>118.1</v>
      </c>
      <c r="E20" s="83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  <c r="R20"/>
      <c r="S20"/>
      <c r="T20"/>
      <c r="U20"/>
      <c r="V20"/>
      <c r="W20"/>
      <c r="X20"/>
      <c r="Y20"/>
      <c r="Z20"/>
    </row>
    <row r="21" spans="1:26" ht="14.25" thickTop="1" thickBot="1">
      <c r="A21" s="15" t="s">
        <v>68</v>
      </c>
      <c r="B21" s="85"/>
      <c r="C21" s="84">
        <v>10</v>
      </c>
      <c r="D21" s="82">
        <v>142.80000000000001</v>
      </c>
      <c r="E21" s="83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  <c r="R21"/>
      <c r="S21"/>
      <c r="T21"/>
      <c r="U21"/>
      <c r="V21"/>
      <c r="W21"/>
      <c r="X21"/>
      <c r="Y21"/>
      <c r="Z21"/>
    </row>
    <row r="22" spans="1:26" ht="13.5" thickBot="1">
      <c r="A22" s="86"/>
      <c r="B22" s="64"/>
      <c r="C22" s="4" t="s">
        <v>52</v>
      </c>
      <c r="D22" s="4" t="s">
        <v>53</v>
      </c>
      <c r="E22" s="4" t="s">
        <v>54</v>
      </c>
      <c r="F22" s="11"/>
      <c r="G22" s="11"/>
      <c r="H22" s="11"/>
      <c r="I22" s="11"/>
      <c r="J22" s="11"/>
      <c r="K22" s="11"/>
      <c r="L22" s="11"/>
      <c r="M22" s="11"/>
      <c r="N22" s="11"/>
      <c r="O22" s="40"/>
      <c r="R22"/>
      <c r="S22"/>
      <c r="T22"/>
      <c r="U22"/>
      <c r="V22"/>
      <c r="W22"/>
      <c r="X22"/>
      <c r="Y22"/>
      <c r="Z22"/>
    </row>
    <row r="23" spans="1:26" ht="13.5" thickBot="1">
      <c r="A23" s="15" t="s">
        <v>69</v>
      </c>
      <c r="B23" s="76"/>
      <c r="C23" s="83">
        <f>SUM(C15:C21)</f>
        <v>2645.05</v>
      </c>
      <c r="D23" s="87">
        <f>+E23/C23</f>
        <v>87.971887109884491</v>
      </c>
      <c r="E23" s="83">
        <f>SUM(E15:E21)</f>
        <v>232690.04</v>
      </c>
      <c r="F23" s="62"/>
      <c r="G23" s="11"/>
      <c r="H23" s="11"/>
      <c r="I23" s="11"/>
      <c r="J23" s="11"/>
      <c r="K23" s="11"/>
      <c r="L23" s="11"/>
      <c r="M23" s="11"/>
      <c r="N23" s="11"/>
      <c r="O23" s="40"/>
      <c r="R23"/>
      <c r="S23"/>
      <c r="T23"/>
      <c r="U23"/>
      <c r="V23"/>
      <c r="W23"/>
      <c r="X23"/>
      <c r="Y23"/>
      <c r="Z23"/>
    </row>
    <row r="24" spans="1:26" ht="39" thickBot="1">
      <c r="A24" s="88" t="s">
        <v>70</v>
      </c>
      <c r="B24" s="76"/>
      <c r="C24" s="86"/>
      <c r="D24" s="89"/>
      <c r="E24" s="90">
        <v>819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  <c r="R24"/>
      <c r="S24"/>
      <c r="T24"/>
      <c r="U24"/>
      <c r="V24"/>
      <c r="W24"/>
      <c r="X24"/>
      <c r="Y24"/>
      <c r="Z24"/>
    </row>
    <row r="25" spans="1:26" ht="13.5" thickBot="1">
      <c r="A25" s="15" t="s">
        <v>71</v>
      </c>
      <c r="B25" s="76"/>
      <c r="C25" s="83">
        <f>SUM(C15:C21)-ROUNDUP((1.7*6),0)</f>
        <v>2634.05</v>
      </c>
      <c r="D25" s="87">
        <f>+E25/C25</f>
        <v>88.282318103300994</v>
      </c>
      <c r="E25" s="83">
        <f>SUM(E17:E21)+E15+((+B16-1.7)*6*D16)+E24</f>
        <v>232540.04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  <c r="R25"/>
      <c r="S25"/>
      <c r="T25"/>
      <c r="U25"/>
      <c r="V25"/>
      <c r="W25"/>
      <c r="X25"/>
      <c r="Y25"/>
      <c r="Z25"/>
    </row>
    <row r="26" spans="1:26" ht="13.5" thickBot="1">
      <c r="A26" s="15" t="s">
        <v>72</v>
      </c>
      <c r="B26" s="76"/>
      <c r="C26" s="83">
        <f>SUM(C17:C21)+C15</f>
        <v>2213.0500000000002</v>
      </c>
      <c r="D26" s="87">
        <f>+E26/C26</f>
        <v>86.970036827003455</v>
      </c>
      <c r="E26" s="83">
        <f>SUM(E17:E21)+E15+E24</f>
        <v>192469.04</v>
      </c>
      <c r="F26" s="62"/>
      <c r="G26" s="11"/>
      <c r="H26" s="11"/>
      <c r="I26" s="11"/>
      <c r="J26" s="11"/>
      <c r="K26" s="11"/>
      <c r="L26" s="11"/>
      <c r="M26" s="11"/>
      <c r="N26" s="11"/>
      <c r="O26" s="40"/>
      <c r="R26"/>
      <c r="S26"/>
      <c r="T26"/>
      <c r="U26"/>
      <c r="V26"/>
      <c r="W26"/>
      <c r="X26"/>
      <c r="Y26"/>
      <c r="Z26"/>
    </row>
    <row r="27" spans="1:26">
      <c r="A27" s="137"/>
      <c r="B27" s="137"/>
      <c r="C27" s="137"/>
      <c r="D27" s="93"/>
      <c r="E27" s="93"/>
      <c r="F27" s="11"/>
      <c r="G27" s="11"/>
      <c r="H27" s="11"/>
      <c r="I27" s="11"/>
      <c r="J27" s="11"/>
      <c r="K27" s="11"/>
      <c r="L27" s="11"/>
      <c r="M27" s="11"/>
      <c r="N27" s="11"/>
      <c r="O27" s="40"/>
      <c r="R27"/>
      <c r="S27"/>
      <c r="T27"/>
      <c r="U27"/>
      <c r="V27"/>
      <c r="W27"/>
      <c r="X27"/>
      <c r="Y27"/>
      <c r="Z27"/>
    </row>
    <row r="28" spans="1:26">
      <c r="A28" s="11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26">
      <c r="A29" s="11" t="s">
        <v>74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26">
      <c r="A30" s="11" t="s">
        <v>75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26">
      <c r="A31" s="11" t="s">
        <v>76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26">
      <c r="A32" s="11" t="s">
        <v>77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26">
      <c r="A33" s="11" t="s">
        <v>78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26">
      <c r="A34" s="11" t="s">
        <v>79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0"/>
    </row>
    <row r="35" spans="1:26">
      <c r="A35" s="11" t="s">
        <v>80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40"/>
    </row>
    <row r="36" spans="1:26" ht="13.5" thickBo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26" s="6" customFormat="1" ht="13.5" thickTop="1"/>
    <row r="38" spans="1:26">
      <c r="A38" s="6"/>
      <c r="B38" s="6"/>
      <c r="C38" s="6"/>
      <c r="D38" s="6"/>
      <c r="E38" s="6"/>
      <c r="F38" s="6"/>
      <c r="R38"/>
      <c r="S38"/>
      <c r="T38"/>
      <c r="U38"/>
      <c r="V38"/>
      <c r="W38"/>
      <c r="X38"/>
      <c r="Y38"/>
      <c r="Z38"/>
    </row>
    <row r="39" spans="1:26">
      <c r="A39" s="6"/>
      <c r="B39" s="6"/>
      <c r="C39" s="6"/>
      <c r="D39" s="6"/>
      <c r="E39" s="6"/>
      <c r="F39" s="6"/>
      <c r="R39"/>
      <c r="S39"/>
      <c r="T39"/>
      <c r="U39"/>
      <c r="V39"/>
      <c r="W39"/>
      <c r="X39"/>
      <c r="Y39"/>
      <c r="Z39"/>
    </row>
    <row r="40" spans="1:26">
      <c r="A40" s="6"/>
      <c r="B40" s="6"/>
      <c r="C40" s="6"/>
      <c r="D40" s="6"/>
      <c r="E40" s="6"/>
      <c r="F40" s="6"/>
      <c r="R40"/>
      <c r="S40"/>
      <c r="T40"/>
      <c r="U40"/>
      <c r="V40"/>
      <c r="W40"/>
      <c r="X40"/>
      <c r="Y40"/>
      <c r="Z40"/>
    </row>
    <row r="41" spans="1:26">
      <c r="A41" s="6"/>
      <c r="B41" s="6"/>
      <c r="C41" s="6"/>
      <c r="D41" s="6"/>
      <c r="E41" s="6"/>
      <c r="F41" s="6"/>
    </row>
    <row r="42" spans="1:26">
      <c r="A42" s="6"/>
      <c r="B42" s="6"/>
      <c r="C42" s="6"/>
      <c r="D42" s="6"/>
      <c r="E42" s="6"/>
      <c r="F42" s="6"/>
    </row>
    <row r="43" spans="1:26">
      <c r="A43" s="6"/>
      <c r="B43" s="6"/>
      <c r="C43" s="6"/>
      <c r="D43" s="6"/>
      <c r="E43" s="6"/>
      <c r="F43" s="6"/>
    </row>
    <row r="44" spans="1:26">
      <c r="A44" s="6"/>
      <c r="B44" s="6"/>
      <c r="C44" s="6"/>
      <c r="D44" s="6"/>
      <c r="E44" s="6"/>
      <c r="F44" s="6"/>
    </row>
    <row r="45" spans="1:26">
      <c r="A45" s="6"/>
      <c r="B45" s="6"/>
      <c r="C45" s="6"/>
      <c r="D45" s="6"/>
      <c r="E45" s="6"/>
      <c r="F45" s="6"/>
    </row>
    <row r="46" spans="1:26">
      <c r="A46" s="6"/>
      <c r="B46" s="6"/>
      <c r="C46" s="6"/>
      <c r="D46" s="6"/>
      <c r="E46" s="6"/>
      <c r="F46" s="6"/>
    </row>
    <row r="47" spans="1:26">
      <c r="A47" s="6"/>
      <c r="B47" s="6"/>
      <c r="C47" s="6"/>
      <c r="D47" s="6"/>
      <c r="E47" s="6"/>
      <c r="F47" s="6"/>
    </row>
    <row r="48" spans="1:26">
      <c r="A48" s="6"/>
      <c r="B48" s="6"/>
      <c r="C48" s="6"/>
      <c r="D48" s="6"/>
      <c r="E48" s="6"/>
      <c r="F48" s="6"/>
    </row>
    <row r="49" spans="1:6">
      <c r="A49" s="6"/>
      <c r="B49" s="6"/>
      <c r="C49" s="6"/>
      <c r="D49" s="6"/>
      <c r="E49" s="6"/>
      <c r="F49" s="6"/>
    </row>
    <row r="50" spans="1:6">
      <c r="A50" s="6"/>
      <c r="B50" s="6"/>
      <c r="C50" s="6"/>
      <c r="D50" s="6"/>
      <c r="E50" s="6"/>
      <c r="F50" s="6"/>
    </row>
    <row r="51" spans="1:6">
      <c r="A51" s="6"/>
      <c r="B51" s="6"/>
      <c r="C51" s="6"/>
      <c r="D51" s="6"/>
      <c r="E51" s="6"/>
      <c r="F51" s="6"/>
    </row>
    <row r="52" spans="1:6">
      <c r="A52" s="6"/>
      <c r="B52" s="6"/>
      <c r="C52" s="6"/>
      <c r="D52" s="6"/>
      <c r="E52" s="6"/>
      <c r="F52" s="6"/>
    </row>
    <row r="53" spans="1:6">
      <c r="A53" s="6"/>
      <c r="B53" s="6"/>
      <c r="C53" s="6"/>
      <c r="D53" s="6"/>
      <c r="E53" s="6"/>
      <c r="F53" s="6"/>
    </row>
    <row r="54" spans="1:6">
      <c r="A54" s="6"/>
      <c r="B54" s="6"/>
      <c r="C54" s="6"/>
      <c r="D54" s="6"/>
      <c r="E54" s="6"/>
      <c r="F54" s="6"/>
    </row>
    <row r="55" spans="1:6">
      <c r="A55" s="6"/>
      <c r="B55" s="6"/>
      <c r="C55" s="6"/>
      <c r="D55" s="6"/>
      <c r="E55" s="6"/>
      <c r="F55" s="6"/>
    </row>
    <row r="56" spans="1:6">
      <c r="A56" s="6"/>
      <c r="B56" s="6"/>
      <c r="C56" s="6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  <row r="58" spans="1:6">
      <c r="A58" s="6"/>
      <c r="B58" s="6"/>
      <c r="C58" s="6"/>
      <c r="D58" s="6"/>
      <c r="E58" s="6"/>
      <c r="F58" s="6"/>
    </row>
    <row r="59" spans="1:6">
      <c r="A59" s="6"/>
      <c r="B59" s="6"/>
      <c r="C59" s="6"/>
      <c r="D59" s="6"/>
      <c r="E59" s="6"/>
      <c r="F59" s="6"/>
    </row>
    <row r="60" spans="1:6">
      <c r="A60" s="6"/>
      <c r="B60" s="6"/>
      <c r="C60" s="6"/>
      <c r="D60" s="6"/>
      <c r="E60" s="6"/>
      <c r="F60" s="6"/>
    </row>
    <row r="61" spans="1:6">
      <c r="A61" s="6"/>
      <c r="B61" s="6"/>
      <c r="C61" s="6"/>
      <c r="D61" s="6"/>
      <c r="E61" s="6"/>
      <c r="F61" s="6"/>
    </row>
    <row r="62" spans="1:6">
      <c r="A62" s="6"/>
      <c r="B62" s="6"/>
      <c r="C62" s="6"/>
      <c r="D62" s="6"/>
      <c r="E62" s="6"/>
      <c r="F62" s="6"/>
    </row>
    <row r="63" spans="1:6">
      <c r="A63" s="6"/>
      <c r="B63" s="6"/>
      <c r="C63" s="6"/>
      <c r="D63" s="6"/>
      <c r="E63" s="6"/>
      <c r="F63" s="6"/>
    </row>
    <row r="64" spans="1:6">
      <c r="A64" s="6"/>
      <c r="B64" s="6"/>
      <c r="C64" s="6"/>
      <c r="D64" s="6"/>
      <c r="E64" s="6"/>
      <c r="F64" s="6"/>
    </row>
    <row r="65" spans="1:6">
      <c r="A65" s="6"/>
      <c r="B65" s="6"/>
      <c r="C65" s="6"/>
      <c r="D65" s="6"/>
      <c r="E65" s="6"/>
      <c r="F65" s="6"/>
    </row>
    <row r="66" spans="1:6">
      <c r="A66" s="6"/>
      <c r="B66" s="6"/>
      <c r="C66" s="6"/>
      <c r="D66" s="6"/>
      <c r="E66" s="6"/>
      <c r="F66" s="6"/>
    </row>
    <row r="67" spans="1:6">
      <c r="A67" s="6"/>
      <c r="B67" s="6"/>
      <c r="C67" s="6"/>
      <c r="D67" s="6"/>
      <c r="E67" s="6"/>
      <c r="F67" s="6"/>
    </row>
    <row r="68" spans="1:6">
      <c r="A68" s="6"/>
      <c r="B68" s="6"/>
      <c r="C68" s="6"/>
      <c r="D68" s="6"/>
      <c r="E68" s="6"/>
      <c r="F68" s="6"/>
    </row>
    <row r="69" spans="1:6">
      <c r="A69" s="6"/>
      <c r="B69" s="6"/>
      <c r="C69" s="6"/>
      <c r="D69" s="6"/>
      <c r="E69" s="6"/>
      <c r="F69" s="6"/>
    </row>
    <row r="70" spans="1:6">
      <c r="A70" s="6"/>
      <c r="B70" s="6"/>
      <c r="C70" s="6"/>
      <c r="D70" s="6"/>
      <c r="E70" s="6"/>
      <c r="F70" s="6"/>
    </row>
    <row r="71" spans="1:6">
      <c r="A71" s="6"/>
      <c r="B71" s="6"/>
      <c r="C71" s="6"/>
      <c r="D71" s="6"/>
      <c r="E71" s="6"/>
      <c r="F71" s="6"/>
    </row>
    <row r="72" spans="1:6">
      <c r="A72" s="6"/>
      <c r="B72" s="6"/>
      <c r="C72" s="6"/>
      <c r="D72" s="6"/>
      <c r="E72" s="6"/>
      <c r="F72" s="6"/>
    </row>
    <row r="73" spans="1:6">
      <c r="A73" s="6"/>
      <c r="B73" s="6"/>
      <c r="C73" s="6"/>
      <c r="D73" s="6"/>
      <c r="E73" s="6"/>
      <c r="F73" s="6"/>
    </row>
  </sheetData>
  <mergeCells count="4">
    <mergeCell ref="A1:F1"/>
    <mergeCell ref="J3:K3"/>
    <mergeCell ref="A27:C27"/>
    <mergeCell ref="H1:M1"/>
  </mergeCells>
  <phoneticPr fontId="4" type="noConversion"/>
  <conditionalFormatting sqref="B16">
    <cfRule type="cellIs" dxfId="9" priority="1" stopIfTrue="1" operator="greaterThan">
      <formula>$E$12</formula>
    </cfRule>
  </conditionalFormatting>
  <pageMargins left="0.55972222222222223" right="0.57013888888888886" top="1" bottom="1" header="0.5" footer="0.51180555555555551"/>
  <pageSetup firstPageNumber="0" orientation="landscape" horizontalDpi="300" verticalDpi="300" r:id="rId1"/>
  <headerFooter alignWithMargins="0">
    <oddHeader>&amp;C&amp;"Arial,Regular"&amp;16&amp;A Weight &amp;&amp; Balance&amp;R&amp;"Arial,Regular"&amp;12&amp;D</oddHeader>
  </headerFooter>
  <ignoredErrors>
    <ignoredError sqref="D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workbookViewId="0">
      <selection activeCell="H2" sqref="H2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5" t="str">
        <f>+B11&amp;" Center of Gravity Limits"</f>
        <v>N31669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83</v>
      </c>
      <c r="C4" s="3">
        <f>B4*A4</f>
        <v>99600</v>
      </c>
      <c r="D4" s="47">
        <v>1200</v>
      </c>
      <c r="E4" s="48">
        <v>83</v>
      </c>
      <c r="F4" s="47">
        <f>E4*D4</f>
        <v>99600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1950</v>
      </c>
      <c r="B5" s="34">
        <v>83</v>
      </c>
      <c r="C5" s="3">
        <f>B5*A5</f>
        <v>161850</v>
      </c>
      <c r="D5" s="47">
        <v>1950</v>
      </c>
      <c r="E5" s="48">
        <v>83</v>
      </c>
      <c r="F5" s="47">
        <f>E5*D5</f>
        <v>161850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2325</v>
      </c>
      <c r="B6" s="34">
        <v>87</v>
      </c>
      <c r="C6" s="3">
        <f>B6*A6</f>
        <v>202275</v>
      </c>
      <c r="D6" s="47">
        <v>2025</v>
      </c>
      <c r="E6" s="48">
        <v>83.85</v>
      </c>
      <c r="F6" s="47">
        <f>E6*D6</f>
        <v>169796.25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2325</v>
      </c>
      <c r="B7" s="34">
        <v>93</v>
      </c>
      <c r="C7" s="3">
        <f>B7*A7</f>
        <v>216225</v>
      </c>
      <c r="D7" s="47">
        <v>2025</v>
      </c>
      <c r="E7" s="48">
        <v>93</v>
      </c>
      <c r="F7" s="47">
        <f>E7*D7</f>
        <v>188325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>
        <v>1200</v>
      </c>
      <c r="E8" s="48">
        <v>93</v>
      </c>
      <c r="F8" s="47">
        <f>E8*D8</f>
        <v>111600</v>
      </c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2</v>
      </c>
      <c r="C11" s="51"/>
      <c r="D11" s="20" t="s">
        <v>26</v>
      </c>
      <c r="E11" s="52" t="s">
        <v>28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1978</v>
      </c>
      <c r="C13" s="8"/>
      <c r="D13" s="115" t="s">
        <v>59</v>
      </c>
      <c r="E13" s="116" t="s">
        <v>82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42058</v>
      </c>
      <c r="C15" s="59">
        <v>1496.48</v>
      </c>
      <c r="D15" s="60">
        <f>E15/C15</f>
        <v>87.097455361915962</v>
      </c>
      <c r="E15" s="61">
        <v>130339.6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2194.48</v>
      </c>
      <c r="D23" s="36">
        <f>+E23/C23</f>
        <v>87.185848128030329</v>
      </c>
      <c r="E23" s="10">
        <f>SUM(E15:E21)</f>
        <v>191327.6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2183.48</v>
      </c>
      <c r="D24" s="36">
        <f>+E24/C24</f>
        <v>87.181288585194281</v>
      </c>
      <c r="E24" s="10">
        <f>SUM(E17:E21)+E15+((+B16-1.7)*6*D16)</f>
        <v>190358.6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1906.48</v>
      </c>
      <c r="D25" s="36">
        <f>+E25/C25</f>
        <v>86.005413117368136</v>
      </c>
      <c r="E25" s="10">
        <f>SUM(E17:E21)+E15</f>
        <v>163967.6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86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phoneticPr fontId="4" type="noConversion"/>
  <conditionalFormatting sqref="B16">
    <cfRule type="cellIs" dxfId="8" priority="2" stopIfTrue="1" operator="greaterThan">
      <formula>$E$12</formula>
    </cfRule>
  </conditionalFormatting>
  <conditionalFormatting sqref="B16">
    <cfRule type="cellIs" dxfId="7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ignoredErrors>
    <ignoredError sqref="D23 D25" formula="1"/>
    <ignoredError sqref="C23:C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tabSelected="1" workbookViewId="0">
      <selection activeCell="A36" sqref="A36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5" t="s">
        <v>128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82</v>
      </c>
      <c r="C4" s="3">
        <f>B4*A4</f>
        <v>98400</v>
      </c>
      <c r="D4" s="47">
        <v>1200</v>
      </c>
      <c r="E4" s="48">
        <v>82</v>
      </c>
      <c r="F4" s="47">
        <f>E4*D4</f>
        <v>98400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2050</v>
      </c>
      <c r="B5" s="34">
        <v>82</v>
      </c>
      <c r="C5" s="3">
        <f>B5*A5</f>
        <v>168100</v>
      </c>
      <c r="D5" s="47">
        <v>1950</v>
      </c>
      <c r="E5" s="48">
        <v>82</v>
      </c>
      <c r="F5" s="47">
        <f>E5*D5</f>
        <v>159900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2550</v>
      </c>
      <c r="B6" s="34">
        <v>88.5</v>
      </c>
      <c r="C6" s="3">
        <f>B6*A6</f>
        <v>225675</v>
      </c>
      <c r="D6" s="47">
        <v>1950</v>
      </c>
      <c r="E6" s="48">
        <v>86.5</v>
      </c>
      <c r="F6" s="47">
        <f>E6*D6</f>
        <v>168675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2550</v>
      </c>
      <c r="B7" s="34">
        <v>93</v>
      </c>
      <c r="C7" s="3">
        <f>B7*A7</f>
        <v>237150</v>
      </c>
      <c r="D7" s="47">
        <v>1200</v>
      </c>
      <c r="E7" s="48">
        <v>86.5</v>
      </c>
      <c r="F7" s="47">
        <f>E7*D7</f>
        <v>103800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/>
      <c r="E8" s="48"/>
      <c r="F8" s="47"/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123</v>
      </c>
      <c r="C11" s="51"/>
      <c r="D11" s="20" t="s">
        <v>26</v>
      </c>
      <c r="E11" s="52" t="s">
        <v>126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1979</v>
      </c>
      <c r="C13" s="8"/>
      <c r="D13" s="115" t="s">
        <v>59</v>
      </c>
      <c r="E13" s="116" t="s">
        <v>127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2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45356</v>
      </c>
      <c r="C15" s="59">
        <v>1542.53</v>
      </c>
      <c r="D15" s="60">
        <f>E15/C15</f>
        <v>87.739434565292086</v>
      </c>
      <c r="E15" s="61">
        <v>135340.71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2240.5299999999997</v>
      </c>
      <c r="D23" s="36">
        <f>+E23/C23</f>
        <v>87.626012595234172</v>
      </c>
      <c r="E23" s="10">
        <f>SUM(E15:E21)</f>
        <v>196328.71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2229.5299999999997</v>
      </c>
      <c r="D24" s="36">
        <f>+E24/C24</f>
        <v>87.623718900396057</v>
      </c>
      <c r="E24" s="10">
        <f>SUM(E17:E21)+E15+((+B16-1.7)*6*D16)</f>
        <v>195359.71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1952.53</v>
      </c>
      <c r="D25" s="36">
        <f>+E25/C25</f>
        <v>86.538342560677677</v>
      </c>
      <c r="E25" s="10">
        <f>SUM(E17:E21)+E15</f>
        <v>168968.71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129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conditionalFormatting sqref="B16">
    <cfRule type="cellIs" dxfId="6" priority="2" stopIfTrue="1" operator="greaterThan">
      <formula>$E$12</formula>
    </cfRule>
  </conditionalFormatting>
  <conditionalFormatting sqref="B16">
    <cfRule type="cellIs" dxfId="5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workbookViewId="0">
      <selection activeCell="C25" sqref="C25"/>
    </sheetView>
  </sheetViews>
  <sheetFormatPr defaultRowHeight="12.75"/>
  <cols>
    <col min="1" max="1" width="17.140625" customWidth="1"/>
    <col min="2" max="2" width="11.85546875" customWidth="1"/>
    <col min="5" max="5" width="11.140625" customWidth="1"/>
    <col min="7" max="14" width="9.140625" style="6"/>
    <col min="15" max="15" width="3.85546875" style="6" customWidth="1"/>
    <col min="16" max="26" width="9.140625" style="6"/>
  </cols>
  <sheetData>
    <row r="1" spans="1:15" ht="13.5" thickBot="1">
      <c r="A1" s="135" t="str">
        <f>+B11&amp;" Center of Gravity Limits"</f>
        <v>N3037E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11"/>
      <c r="O1" s="40"/>
    </row>
    <row r="2" spans="1:15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11"/>
      <c r="O2" s="40"/>
    </row>
    <row r="3" spans="1:15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11"/>
      <c r="O3" s="40"/>
    </row>
    <row r="4" spans="1:15" ht="13.5" thickBot="1">
      <c r="A4" s="3">
        <v>1200</v>
      </c>
      <c r="B4" s="34">
        <v>83</v>
      </c>
      <c r="C4" s="3">
        <f>B4*A4</f>
        <v>99600</v>
      </c>
      <c r="D4" s="47">
        <v>1200</v>
      </c>
      <c r="E4" s="48">
        <v>83</v>
      </c>
      <c r="F4" s="47">
        <f>E4*D4</f>
        <v>99600</v>
      </c>
      <c r="G4" s="11"/>
      <c r="H4" s="11"/>
      <c r="I4" s="11"/>
      <c r="J4" s="11"/>
      <c r="K4" s="11"/>
      <c r="L4" s="11"/>
      <c r="M4" s="11"/>
      <c r="N4" s="11"/>
      <c r="O4" s="40"/>
    </row>
    <row r="5" spans="1:15" ht="13.5" thickBot="1">
      <c r="A5" s="3">
        <v>1950</v>
      </c>
      <c r="B5" s="34">
        <v>83</v>
      </c>
      <c r="C5" s="3">
        <f>B5*A5</f>
        <v>161850</v>
      </c>
      <c r="D5" s="47">
        <v>1950</v>
      </c>
      <c r="E5" s="48">
        <v>83</v>
      </c>
      <c r="F5" s="47">
        <f>E5*D5</f>
        <v>161850</v>
      </c>
      <c r="G5" s="11"/>
      <c r="H5" s="11"/>
      <c r="I5" s="11"/>
      <c r="J5" s="11"/>
      <c r="K5" s="11"/>
      <c r="L5" s="11"/>
      <c r="M5" s="11"/>
      <c r="N5" s="11"/>
      <c r="O5" s="40"/>
    </row>
    <row r="6" spans="1:15" ht="13.5" thickBot="1">
      <c r="A6" s="3">
        <v>2325</v>
      </c>
      <c r="B6" s="34">
        <v>87</v>
      </c>
      <c r="C6" s="3">
        <f>B6*A6</f>
        <v>202275</v>
      </c>
      <c r="D6" s="47">
        <v>2025</v>
      </c>
      <c r="E6" s="48">
        <v>83.85</v>
      </c>
      <c r="F6" s="47">
        <f>E6*D6</f>
        <v>169796.25</v>
      </c>
      <c r="G6" s="11"/>
      <c r="H6" s="11"/>
      <c r="I6" s="11"/>
      <c r="J6" s="11"/>
      <c r="K6" s="11"/>
      <c r="L6" s="11"/>
      <c r="M6" s="11"/>
      <c r="N6" s="11"/>
      <c r="O6" s="40"/>
    </row>
    <row r="7" spans="1:15" ht="13.5" thickBot="1">
      <c r="A7" s="3">
        <v>2325</v>
      </c>
      <c r="B7" s="34">
        <v>93</v>
      </c>
      <c r="C7" s="3">
        <f>B7*A7</f>
        <v>216225</v>
      </c>
      <c r="D7" s="47">
        <v>2025</v>
      </c>
      <c r="E7" s="48">
        <v>93</v>
      </c>
      <c r="F7" s="47">
        <f>E7*D7</f>
        <v>188325</v>
      </c>
      <c r="G7" s="11"/>
      <c r="H7" s="11"/>
      <c r="I7" s="11"/>
      <c r="J7" s="11"/>
      <c r="K7" s="11"/>
      <c r="L7" s="11"/>
      <c r="M7" s="11"/>
      <c r="N7" s="11"/>
      <c r="O7" s="40"/>
    </row>
    <row r="8" spans="1:15" ht="13.5" thickBot="1">
      <c r="A8" s="3">
        <v>1200</v>
      </c>
      <c r="B8" s="34">
        <v>93</v>
      </c>
      <c r="C8" s="3">
        <f>B8*A8</f>
        <v>111600</v>
      </c>
      <c r="D8" s="47">
        <v>1200</v>
      </c>
      <c r="E8" s="48">
        <v>93</v>
      </c>
      <c r="F8" s="47">
        <f>E8*D8</f>
        <v>111600</v>
      </c>
      <c r="G8" s="11"/>
      <c r="H8" s="11"/>
      <c r="I8" s="11"/>
      <c r="J8" s="11"/>
      <c r="K8" s="11"/>
      <c r="L8" s="11"/>
      <c r="M8" s="11"/>
      <c r="N8" s="11"/>
      <c r="O8" s="40"/>
    </row>
    <row r="9" spans="1:15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0"/>
    </row>
    <row r="10" spans="1:15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0"/>
    </row>
    <row r="11" spans="1:15" ht="13.5" thickBot="1">
      <c r="A11" s="27" t="s">
        <v>55</v>
      </c>
      <c r="B11" s="50" t="s">
        <v>3</v>
      </c>
      <c r="C11" s="51"/>
      <c r="D11" s="20" t="s">
        <v>26</v>
      </c>
      <c r="E11" s="52" t="s">
        <v>29</v>
      </c>
      <c r="F11" s="11"/>
      <c r="G11" s="11"/>
      <c r="H11" s="11"/>
      <c r="I11" s="11"/>
      <c r="J11" s="11"/>
      <c r="K11" s="11"/>
      <c r="L11" s="11"/>
      <c r="M11" s="11"/>
      <c r="N11" s="11"/>
      <c r="O11" s="40"/>
    </row>
    <row r="12" spans="1:15" ht="26.25" thickBot="1">
      <c r="A12" s="107" t="s">
        <v>56</v>
      </c>
      <c r="B12" s="53" t="s">
        <v>11</v>
      </c>
      <c r="C12" s="7"/>
      <c r="D12" s="21" t="s">
        <v>57</v>
      </c>
      <c r="E12" s="112">
        <v>48</v>
      </c>
      <c r="F12" s="67" t="s">
        <v>58</v>
      </c>
      <c r="G12" s="11"/>
      <c r="H12" s="11"/>
      <c r="I12" s="11"/>
      <c r="J12" s="11"/>
      <c r="K12" s="11"/>
      <c r="L12" s="11"/>
      <c r="M12" s="11"/>
      <c r="N12" s="11"/>
      <c r="O12" s="40"/>
    </row>
    <row r="13" spans="1:15" ht="26.25" thickBot="1">
      <c r="A13" s="107" t="s">
        <v>25</v>
      </c>
      <c r="B13" s="53">
        <v>1978</v>
      </c>
      <c r="C13" s="8"/>
      <c r="D13" s="115" t="s">
        <v>59</v>
      </c>
      <c r="E13" s="116" t="s">
        <v>82</v>
      </c>
      <c r="F13" s="114"/>
      <c r="G13" s="11"/>
      <c r="H13" s="11"/>
      <c r="I13" s="11"/>
      <c r="J13" s="11"/>
      <c r="K13" s="11"/>
      <c r="L13" s="11"/>
      <c r="M13" s="11"/>
      <c r="N13" s="11"/>
      <c r="O13" s="40"/>
    </row>
    <row r="14" spans="1:15" ht="13.5" thickBot="1">
      <c r="A14" s="56"/>
      <c r="B14" s="57" t="s">
        <v>61</v>
      </c>
      <c r="C14" s="4" t="s">
        <v>52</v>
      </c>
      <c r="D14" s="4" t="s">
        <v>53</v>
      </c>
      <c r="E14" s="22" t="s">
        <v>54</v>
      </c>
      <c r="F14" s="131"/>
      <c r="G14" s="11"/>
      <c r="H14" s="11"/>
      <c r="I14" s="11"/>
      <c r="J14" s="11"/>
      <c r="K14" s="11"/>
      <c r="L14" s="11"/>
      <c r="M14" s="11"/>
      <c r="N14" s="11"/>
      <c r="O14" s="40"/>
    </row>
    <row r="15" spans="1:15" ht="13.5" thickBot="1">
      <c r="A15" s="58" t="s">
        <v>83</v>
      </c>
      <c r="B15" s="68">
        <v>42639</v>
      </c>
      <c r="C15" s="59">
        <v>1526</v>
      </c>
      <c r="D15" s="60">
        <f>E15/C15</f>
        <v>90.218217562254253</v>
      </c>
      <c r="E15" s="61">
        <v>137673</v>
      </c>
      <c r="F15" s="62"/>
      <c r="G15" s="11"/>
      <c r="H15" s="11"/>
      <c r="I15" s="11"/>
      <c r="J15" s="11"/>
      <c r="K15" s="11"/>
      <c r="L15" s="11"/>
      <c r="M15" s="11"/>
      <c r="N15" s="11"/>
      <c r="O15" s="40"/>
    </row>
    <row r="16" spans="1:15" ht="14.25" thickTop="1" thickBot="1">
      <c r="A16" s="15" t="s">
        <v>84</v>
      </c>
      <c r="B16" s="29">
        <v>48</v>
      </c>
      <c r="C16" s="30">
        <f>+B16*6</f>
        <v>288</v>
      </c>
      <c r="D16" s="36">
        <v>95</v>
      </c>
      <c r="E16" s="10">
        <f t="shared" ref="E16:E21" si="0">+C16*D16</f>
        <v>27360</v>
      </c>
      <c r="F16" s="62"/>
      <c r="G16" s="11"/>
      <c r="H16" s="11"/>
      <c r="I16" s="11"/>
      <c r="J16" s="11"/>
      <c r="K16" s="11"/>
      <c r="L16" s="11"/>
      <c r="M16" s="11"/>
      <c r="N16" s="11"/>
      <c r="O16" s="40"/>
    </row>
    <row r="17" spans="1:15" ht="14.25" thickTop="1" thickBot="1">
      <c r="A17" s="63" t="s">
        <v>64</v>
      </c>
      <c r="B17" s="28"/>
      <c r="C17" s="9">
        <v>200</v>
      </c>
      <c r="D17" s="36">
        <v>80.5</v>
      </c>
      <c r="E17" s="10">
        <f t="shared" si="0"/>
        <v>16100</v>
      </c>
      <c r="F17" s="62"/>
      <c r="G17" s="11"/>
      <c r="H17" s="11"/>
      <c r="I17" s="11"/>
      <c r="J17" s="11"/>
      <c r="K17" s="11"/>
      <c r="L17" s="11"/>
      <c r="M17" s="11"/>
      <c r="N17" s="11"/>
      <c r="O17" s="40"/>
    </row>
    <row r="18" spans="1:15" ht="14.25" thickTop="1" thickBot="1">
      <c r="A18" s="63" t="s">
        <v>65</v>
      </c>
      <c r="B18" s="35"/>
      <c r="C18" s="9">
        <v>200</v>
      </c>
      <c r="D18" s="36">
        <v>80.5</v>
      </c>
      <c r="E18" s="10">
        <f t="shared" si="0"/>
        <v>16100</v>
      </c>
      <c r="F18" s="62"/>
      <c r="G18" s="11"/>
      <c r="H18" s="11"/>
      <c r="I18" s="11"/>
      <c r="J18" s="11"/>
      <c r="K18" s="11"/>
      <c r="L18" s="11"/>
      <c r="M18" s="11"/>
      <c r="N18" s="11"/>
      <c r="O18" s="40"/>
    </row>
    <row r="19" spans="1:15" ht="14.25" thickTop="1" thickBot="1">
      <c r="A19" s="63" t="s">
        <v>66</v>
      </c>
      <c r="B19" s="35"/>
      <c r="C19" s="9">
        <v>0</v>
      </c>
      <c r="D19" s="36">
        <v>118.1</v>
      </c>
      <c r="E19" s="10">
        <f t="shared" si="0"/>
        <v>0</v>
      </c>
      <c r="F19" s="62"/>
      <c r="G19" s="11"/>
      <c r="H19" s="11"/>
      <c r="I19" s="11"/>
      <c r="J19" s="11"/>
      <c r="K19" s="11"/>
      <c r="L19" s="11"/>
      <c r="M19" s="11"/>
      <c r="N19" s="11"/>
      <c r="O19" s="40"/>
    </row>
    <row r="20" spans="1:15" ht="14.25" thickTop="1" thickBot="1">
      <c r="A20" s="63" t="s">
        <v>67</v>
      </c>
      <c r="B20" s="35"/>
      <c r="C20" s="9">
        <v>0</v>
      </c>
      <c r="D20" s="36">
        <v>118.1</v>
      </c>
      <c r="E20" s="10">
        <f t="shared" si="0"/>
        <v>0</v>
      </c>
      <c r="F20" s="62"/>
      <c r="G20" s="11"/>
      <c r="H20" s="11"/>
      <c r="I20" s="11"/>
      <c r="J20" s="11"/>
      <c r="K20" s="11"/>
      <c r="L20" s="11"/>
      <c r="M20" s="11"/>
      <c r="N20" s="11"/>
      <c r="O20" s="40"/>
    </row>
    <row r="21" spans="1:15" ht="16.5" customHeight="1" thickTop="1" thickBot="1">
      <c r="A21" s="63" t="s">
        <v>85</v>
      </c>
      <c r="B21" s="35"/>
      <c r="C21" s="9">
        <v>10</v>
      </c>
      <c r="D21" s="36">
        <v>142.80000000000001</v>
      </c>
      <c r="E21" s="10">
        <f t="shared" si="0"/>
        <v>1428</v>
      </c>
      <c r="F21" s="62"/>
      <c r="G21" s="11"/>
      <c r="H21" s="11"/>
      <c r="I21" s="11"/>
      <c r="J21" s="11"/>
      <c r="K21" s="11"/>
      <c r="L21" s="11"/>
      <c r="M21" s="11"/>
      <c r="N21" s="11"/>
      <c r="O21" s="40"/>
    </row>
    <row r="22" spans="1:15" ht="13.5" thickBot="1">
      <c r="A22" s="26"/>
      <c r="B22" s="64"/>
      <c r="C22" s="23" t="s">
        <v>52</v>
      </c>
      <c r="D22" s="4" t="s">
        <v>53</v>
      </c>
      <c r="E22" s="4" t="s">
        <v>54</v>
      </c>
      <c r="F22" s="62"/>
      <c r="G22" s="11"/>
      <c r="H22" s="11"/>
      <c r="I22" s="11"/>
      <c r="J22" s="11"/>
      <c r="K22" s="11"/>
      <c r="L22" s="11"/>
      <c r="M22" s="11"/>
      <c r="N22" s="11"/>
      <c r="O22" s="40"/>
    </row>
    <row r="23" spans="1:15" ht="13.5" thickBot="1">
      <c r="A23" s="15" t="s">
        <v>69</v>
      </c>
      <c r="B23" s="35"/>
      <c r="C23" s="24">
        <f>SUM(C15:C21)</f>
        <v>2224</v>
      </c>
      <c r="D23" s="36">
        <f>+E23/C23</f>
        <v>89.325989208633089</v>
      </c>
      <c r="E23" s="10">
        <f>SUM(E15:E21)</f>
        <v>198661</v>
      </c>
      <c r="F23" s="11"/>
      <c r="G23" s="11"/>
      <c r="H23" s="11"/>
      <c r="I23" s="11"/>
      <c r="J23" s="11"/>
      <c r="K23" s="11"/>
      <c r="L23" s="11"/>
      <c r="M23" s="11"/>
      <c r="N23" s="11"/>
      <c r="O23" s="40"/>
    </row>
    <row r="24" spans="1:15" ht="13.5" thickBot="1">
      <c r="A24" s="15" t="s">
        <v>71</v>
      </c>
      <c r="B24" s="35"/>
      <c r="C24" s="24">
        <f>SUM(C15:C21)-ROUNDUP((1.7*6),0)</f>
        <v>2213</v>
      </c>
      <c r="D24" s="36">
        <f>+E24/C24</f>
        <v>89.332128332580211</v>
      </c>
      <c r="E24" s="10">
        <f>SUM(E17:E21)+E15+((+B16-1.7)*6*D16)</f>
        <v>197692</v>
      </c>
      <c r="F24" s="62"/>
      <c r="G24" s="11"/>
      <c r="H24" s="11"/>
      <c r="I24" s="11"/>
      <c r="J24" s="11"/>
      <c r="K24" s="11"/>
      <c r="L24" s="11"/>
      <c r="M24" s="11"/>
      <c r="N24" s="11"/>
      <c r="O24" s="40"/>
    </row>
    <row r="25" spans="1:15" ht="13.5" thickBot="1">
      <c r="A25" s="15" t="s">
        <v>72</v>
      </c>
      <c r="B25" s="35"/>
      <c r="C25" s="24">
        <f>SUM(C17:C21)+C15</f>
        <v>1936</v>
      </c>
      <c r="D25" s="36">
        <f>+E25/C25</f>
        <v>88.481921487603302</v>
      </c>
      <c r="E25" s="10">
        <f>SUM(E17:E21)+E15</f>
        <v>171301</v>
      </c>
      <c r="F25" s="62"/>
      <c r="G25" s="11"/>
      <c r="H25" s="11"/>
      <c r="I25" s="11"/>
      <c r="J25" s="11"/>
      <c r="K25" s="11"/>
      <c r="L25" s="11"/>
      <c r="M25" s="11"/>
      <c r="N25" s="11"/>
      <c r="O25" s="40"/>
    </row>
    <row r="26" spans="1:15">
      <c r="A26" s="11"/>
      <c r="B26" s="11"/>
      <c r="C26" s="11"/>
      <c r="D26" s="11"/>
      <c r="E26" s="11"/>
      <c r="F26" s="62"/>
      <c r="G26" s="11"/>
      <c r="H26" s="11"/>
      <c r="I26" s="11"/>
      <c r="J26" s="11"/>
      <c r="K26" s="11"/>
      <c r="L26" s="11"/>
      <c r="M26" s="11"/>
      <c r="N26" s="11"/>
      <c r="O26" s="40"/>
    </row>
    <row r="27" spans="1:15">
      <c r="A27" s="11" t="s">
        <v>86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0"/>
    </row>
    <row r="28" spans="1:15">
      <c r="A28" s="11" t="s">
        <v>87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0"/>
    </row>
    <row r="29" spans="1:15">
      <c r="A29" s="11" t="s">
        <v>88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0"/>
    </row>
    <row r="30" spans="1:15">
      <c r="A30" s="11" t="s">
        <v>89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0"/>
    </row>
    <row r="31" spans="1:15">
      <c r="A31" s="11" t="s">
        <v>90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0"/>
    </row>
    <row r="32" spans="1:15">
      <c r="A32" s="11" t="s">
        <v>78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0"/>
    </row>
    <row r="33" spans="1:15">
      <c r="A33" s="11" t="s">
        <v>91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0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s="6" customFormat="1" ht="13.5" thickTop="1"/>
    <row r="36" spans="1:15" s="6" customFormat="1"/>
    <row r="37" spans="1:15" s="6" customFormat="1"/>
    <row r="38" spans="1:15" s="6" customFormat="1"/>
    <row r="39" spans="1:15" s="6" customFormat="1"/>
    <row r="40" spans="1:15" s="6" customFormat="1"/>
    <row r="41" spans="1:15" s="6" customFormat="1"/>
    <row r="42" spans="1:15" s="6" customFormat="1"/>
    <row r="43" spans="1:15">
      <c r="F43" s="6"/>
    </row>
  </sheetData>
  <mergeCells count="2">
    <mergeCell ref="A1:F1"/>
    <mergeCell ref="H1:M1"/>
  </mergeCells>
  <conditionalFormatting sqref="B16">
    <cfRule type="cellIs" dxfId="4" priority="2" stopIfTrue="1" operator="greaterThan">
      <formula>$E$12</formula>
    </cfRule>
  </conditionalFormatting>
  <conditionalFormatting sqref="B16">
    <cfRule type="cellIs" dxfId="3" priority="1" stopIfTrue="1" operator="greaterThan">
      <formula>$E$12</formula>
    </cfRule>
  </conditionalFormatting>
  <pageMargins left="0.75" right="0.75" top="1" bottom="1" header="0.5" footer="0.5"/>
  <pageSetup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7"/>
  <sheetViews>
    <sheetView workbookViewId="0">
      <selection activeCell="E30" sqref="E30"/>
    </sheetView>
  </sheetViews>
  <sheetFormatPr defaultRowHeight="12.75"/>
  <cols>
    <col min="1" max="1" width="12" customWidth="1"/>
    <col min="2" max="2" width="12.140625" customWidth="1"/>
    <col min="5" max="5" width="10.85546875" customWidth="1"/>
  </cols>
  <sheetData>
    <row r="1" spans="1:14" ht="13.5" thickBot="1">
      <c r="A1" s="135" t="str">
        <f>+B11&amp;" Center of Gravity Limits"</f>
        <v>N782FM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40"/>
    </row>
    <row r="2" spans="1:14" ht="13.5" thickBot="1">
      <c r="A2" s="41"/>
      <c r="B2" s="42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2550</v>
      </c>
      <c r="B6" s="34">
        <v>41</v>
      </c>
      <c r="C6" s="3">
        <v>98175</v>
      </c>
      <c r="D6" s="47">
        <v>2100</v>
      </c>
      <c r="E6" s="48">
        <v>36.6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2550</v>
      </c>
      <c r="B7" s="34">
        <v>47.4</v>
      </c>
      <c r="C7" s="3">
        <v>120615</v>
      </c>
      <c r="D7" s="47">
        <v>2100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47.4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4</v>
      </c>
      <c r="C11" s="51"/>
      <c r="D11" s="20" t="s">
        <v>26</v>
      </c>
      <c r="E11" s="52" t="s">
        <v>92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40</v>
      </c>
      <c r="F12" s="55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1981</v>
      </c>
      <c r="C13" s="8"/>
      <c r="D13" s="115" t="s">
        <v>59</v>
      </c>
      <c r="E13" s="117" t="s">
        <v>17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42661</v>
      </c>
      <c r="C15" s="59">
        <v>1530.29</v>
      </c>
      <c r="D15" s="60">
        <f>E15/C15</f>
        <v>38.02399545184246</v>
      </c>
      <c r="E15" s="61">
        <v>58187.74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40</v>
      </c>
      <c r="C16" s="30">
        <f>+B16*6</f>
        <v>240</v>
      </c>
      <c r="D16" s="36">
        <v>48</v>
      </c>
      <c r="E16" s="10">
        <f>+C16*D16</f>
        <v>11520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5" ht="14.25" thickTop="1" thickBot="1">
      <c r="A17" s="63" t="s">
        <v>64</v>
      </c>
      <c r="B17" s="28"/>
      <c r="C17" s="9">
        <v>200</v>
      </c>
      <c r="D17" s="36">
        <v>37</v>
      </c>
      <c r="E17" s="10">
        <f t="shared" ref="E17:E22" si="0">+C17*D17</f>
        <v>7400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5" ht="14.25" thickTop="1" thickBot="1">
      <c r="A18" s="63" t="s">
        <v>65</v>
      </c>
      <c r="B18" s="35"/>
      <c r="C18" s="9">
        <v>200</v>
      </c>
      <c r="D18" s="36">
        <v>37</v>
      </c>
      <c r="E18" s="10">
        <f t="shared" si="0"/>
        <v>7400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5" ht="14.25" thickTop="1" thickBot="1">
      <c r="A19" s="63" t="s">
        <v>66</v>
      </c>
      <c r="B19" s="35"/>
      <c r="C19" s="9">
        <v>170</v>
      </c>
      <c r="D19" s="36">
        <v>73</v>
      </c>
      <c r="E19" s="10">
        <f t="shared" si="0"/>
        <v>12410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5" ht="14.25" thickTop="1" thickBot="1">
      <c r="A20" s="63" t="s">
        <v>67</v>
      </c>
      <c r="B20" s="35"/>
      <c r="C20" s="9">
        <v>170</v>
      </c>
      <c r="D20" s="36">
        <v>73</v>
      </c>
      <c r="E20" s="10">
        <f t="shared" si="0"/>
        <v>12410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5" ht="14.25" thickTop="1" thickBot="1">
      <c r="A21" s="63" t="s">
        <v>93</v>
      </c>
      <c r="B21" s="35"/>
      <c r="C21" s="9">
        <v>20</v>
      </c>
      <c r="D21" s="36">
        <v>95</v>
      </c>
      <c r="E21" s="10">
        <f t="shared" si="0"/>
        <v>1900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5" ht="14.25" thickTop="1" thickBot="1">
      <c r="A22" s="15" t="s">
        <v>94</v>
      </c>
      <c r="B22" s="35"/>
      <c r="C22" s="9">
        <v>15</v>
      </c>
      <c r="D22" s="36">
        <v>123</v>
      </c>
      <c r="E22" s="10">
        <f t="shared" si="0"/>
        <v>1845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5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5" ht="13.5" thickBot="1">
      <c r="A24" s="15" t="s">
        <v>69</v>
      </c>
      <c r="B24" s="35"/>
      <c r="C24" s="24">
        <f>SUM(C15:C22)</f>
        <v>2545.29</v>
      </c>
      <c r="D24" s="36">
        <f>+E24/C24</f>
        <v>44.42430528544881</v>
      </c>
      <c r="E24" s="10">
        <f>SUM(E15:E22)</f>
        <v>113072.73999999999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5" ht="13.5" thickBot="1">
      <c r="A25" s="15" t="s">
        <v>71</v>
      </c>
      <c r="B25" s="35"/>
      <c r="C25" s="24">
        <f>SUM(C15:C22)-ROUNDUP((1.7*6),0)</f>
        <v>2534.29</v>
      </c>
      <c r="D25" s="36">
        <f>+E25/C25</f>
        <v>44.423937276318014</v>
      </c>
      <c r="E25" s="10">
        <f>SUM(E17:E22)+E15+((+B16-1.7)*6*D16)</f>
        <v>112583.13999999998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5" ht="13.5" thickBot="1">
      <c r="A26" s="15" t="s">
        <v>72</v>
      </c>
      <c r="B26" s="35"/>
      <c r="C26" s="24">
        <f>SUM(C17:C22)+C15</f>
        <v>2305.29</v>
      </c>
      <c r="D26" s="36">
        <f>+E26/C26</f>
        <v>44.052045512712063</v>
      </c>
      <c r="E26" s="10">
        <f>SUM(E17:E22)+E15</f>
        <v>101552.73999999999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5">
      <c r="A28" s="11" t="s">
        <v>95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96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97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98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  <c r="O34" s="6"/>
    </row>
    <row r="35" spans="1:15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  <c r="O35" s="6"/>
    </row>
    <row r="36" spans="1:15" ht="13.5" thickTop="1"/>
    <row r="37" spans="1:15">
      <c r="A37" t="s">
        <v>102</v>
      </c>
    </row>
  </sheetData>
  <mergeCells count="2">
    <mergeCell ref="A1:F1"/>
    <mergeCell ref="H1:M1"/>
  </mergeCells>
  <conditionalFormatting sqref="B16">
    <cfRule type="cellIs" dxfId="2" priority="1" stopIfTrue="1" operator="greaterThan">
      <formula>$E$12</formula>
    </cfRule>
  </conditionalFormatting>
  <pageMargins left="0.7" right="0.7" top="0.75" bottom="0.75" header="0.3" footer="0.3"/>
  <ignoredErrors>
    <ignoredError sqref="D24 D26" formula="1"/>
    <ignoredError sqref="C24:C25 C26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workbookViewId="0">
      <selection sqref="A1:F1"/>
    </sheetView>
  </sheetViews>
  <sheetFormatPr defaultRowHeight="12.75"/>
  <cols>
    <col min="1" max="1" width="12.140625" customWidth="1"/>
    <col min="2" max="2" width="11.28515625" customWidth="1"/>
    <col min="5" max="5" width="10.42578125" customWidth="1"/>
  </cols>
  <sheetData>
    <row r="1" spans="1:14" ht="13.5" thickBot="1">
      <c r="A1" s="135" t="str">
        <f>+B11&amp;" Center of Gravity Limits"</f>
        <v>N783FM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40"/>
    </row>
    <row r="2" spans="1:14" ht="13.5" thickBot="1">
      <c r="A2" s="41"/>
      <c r="B2" s="77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2400</v>
      </c>
      <c r="B6" s="34">
        <v>39.5</v>
      </c>
      <c r="C6" s="3">
        <v>98175</v>
      </c>
      <c r="D6" s="47">
        <v>2100</v>
      </c>
      <c r="E6" s="48">
        <v>36.5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2400</v>
      </c>
      <c r="B7" s="34">
        <v>47.4</v>
      </c>
      <c r="C7" s="3">
        <v>120615</v>
      </c>
      <c r="D7" s="47">
        <v>2100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47.4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5</v>
      </c>
      <c r="C11" s="51"/>
      <c r="D11" s="20" t="s">
        <v>26</v>
      </c>
      <c r="E11" s="52" t="s">
        <v>92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50</v>
      </c>
      <c r="F12" s="67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1981</v>
      </c>
      <c r="C13" s="8"/>
      <c r="D13" s="115" t="s">
        <v>59</v>
      </c>
      <c r="E13" s="116" t="s">
        <v>18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43559</v>
      </c>
      <c r="C15" s="59">
        <v>1474.4</v>
      </c>
      <c r="D15" s="60">
        <f>E15/C15</f>
        <v>39.118068366793267</v>
      </c>
      <c r="E15" s="61">
        <v>57675.68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50</v>
      </c>
      <c r="C16" s="30">
        <f>+B16*6</f>
        <v>300</v>
      </c>
      <c r="D16" s="36">
        <v>48</v>
      </c>
      <c r="E16" s="10">
        <f t="shared" ref="E16:E22" si="0">+C16*D16</f>
        <v>14400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4" ht="14.25" thickTop="1" thickBot="1">
      <c r="A17" s="63" t="s">
        <v>64</v>
      </c>
      <c r="B17" s="28"/>
      <c r="C17" s="9">
        <v>170</v>
      </c>
      <c r="D17" s="36">
        <v>37</v>
      </c>
      <c r="E17" s="10">
        <f t="shared" si="0"/>
        <v>6290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4" ht="14.25" thickTop="1" thickBot="1">
      <c r="A18" s="63" t="s">
        <v>65</v>
      </c>
      <c r="B18" s="35"/>
      <c r="C18" s="9">
        <v>170</v>
      </c>
      <c r="D18" s="36">
        <v>37</v>
      </c>
      <c r="E18" s="10">
        <f t="shared" si="0"/>
        <v>6290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4" ht="14.25" thickTop="1" thickBot="1">
      <c r="A19" s="63" t="s">
        <v>66</v>
      </c>
      <c r="B19" s="35"/>
      <c r="C19" s="9">
        <v>140</v>
      </c>
      <c r="D19" s="36">
        <v>73</v>
      </c>
      <c r="E19" s="10">
        <f t="shared" si="0"/>
        <v>10220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4" ht="14.25" thickTop="1" thickBot="1">
      <c r="A20" s="63" t="s">
        <v>67</v>
      </c>
      <c r="B20" s="35"/>
      <c r="C20" s="9">
        <v>100</v>
      </c>
      <c r="D20" s="36">
        <v>73</v>
      </c>
      <c r="E20" s="10">
        <f t="shared" si="0"/>
        <v>7300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4" ht="14.25" thickTop="1" thickBot="1">
      <c r="A21" s="63" t="s">
        <v>93</v>
      </c>
      <c r="B21" s="35"/>
      <c r="C21" s="9">
        <v>20</v>
      </c>
      <c r="D21" s="36">
        <v>95</v>
      </c>
      <c r="E21" s="10">
        <f t="shared" si="0"/>
        <v>1900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4" ht="14.25" thickTop="1" thickBot="1">
      <c r="A22" s="15" t="s">
        <v>94</v>
      </c>
      <c r="B22" s="35"/>
      <c r="C22" s="9">
        <v>15</v>
      </c>
      <c r="D22" s="36">
        <v>123</v>
      </c>
      <c r="E22" s="10">
        <f t="shared" si="0"/>
        <v>1845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4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4" ht="13.5" thickBot="1">
      <c r="A24" s="15" t="s">
        <v>69</v>
      </c>
      <c r="B24" s="35"/>
      <c r="C24" s="24">
        <f>SUM(C15:C22)</f>
        <v>2389.4</v>
      </c>
      <c r="D24" s="36">
        <f>+E24/C24</f>
        <v>44.329404871515855</v>
      </c>
      <c r="E24" s="10">
        <f>SUM(E15:E22)</f>
        <v>105920.68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4" ht="13.5" thickBot="1">
      <c r="A25" s="15" t="s">
        <v>71</v>
      </c>
      <c r="B25" s="35"/>
      <c r="C25" s="24">
        <f>SUM(C15:C22)-ROUNDUP((1.7*6),0)</f>
        <v>2378.4</v>
      </c>
      <c r="D25" s="36">
        <f>+E25/C25</f>
        <v>44.328573831146983</v>
      </c>
      <c r="E25" s="10">
        <f>SUM(E17:E22)+E15+((+B16-1.7)*6*D16)</f>
        <v>105431.07999999999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4" ht="13.5" thickBot="1">
      <c r="A26" s="15" t="s">
        <v>72</v>
      </c>
      <c r="B26" s="35"/>
      <c r="C26" s="24">
        <f>SUM(C17:C22)+C15</f>
        <v>2089.4</v>
      </c>
      <c r="D26" s="36">
        <f>+E26/C26</f>
        <v>43.80237388724035</v>
      </c>
      <c r="E26" s="10">
        <f>SUM(E17:E22)+E15</f>
        <v>91520.68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4">
      <c r="A28" s="11" t="s">
        <v>103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</row>
    <row r="29" spans="1:14">
      <c r="A29" s="11" t="s">
        <v>104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>
      <c r="A30" s="11" t="s">
        <v>105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>
      <c r="A31" s="11" t="s">
        <v>106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</row>
    <row r="32" spans="1:14">
      <c r="A32" s="11" t="s">
        <v>107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</row>
    <row r="33" spans="1:14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</row>
    <row r="34" spans="1:14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</row>
    <row r="35" spans="1:14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3.5" thickTop="1"/>
  </sheetData>
  <mergeCells count="2">
    <mergeCell ref="A1:F1"/>
    <mergeCell ref="H1:M1"/>
  </mergeCells>
  <conditionalFormatting sqref="B16">
    <cfRule type="cellIs" dxfId="1" priority="1" stopIfTrue="1" operator="greaterThan">
      <formula>$E$12</formula>
    </cfRule>
  </conditionalFormatting>
  <pageMargins left="0.7" right="0.7" top="0.75" bottom="0.75" header="0.3" footer="0.3"/>
  <pageSetup orientation="portrait" r:id="rId1"/>
  <ignoredErrors>
    <ignoredError sqref="D24 D26" formula="1"/>
    <ignoredError sqref="C24:C25 C26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opLeftCell="A7" workbookViewId="0">
      <selection activeCell="K43" sqref="K43"/>
    </sheetView>
  </sheetViews>
  <sheetFormatPr defaultRowHeight="12.75"/>
  <cols>
    <col min="1" max="1" width="12.140625" customWidth="1"/>
    <col min="2" max="2" width="12.5703125" customWidth="1"/>
    <col min="5" max="5" width="10.42578125" customWidth="1"/>
  </cols>
  <sheetData>
    <row r="1" spans="1:14" ht="13.5" thickBot="1">
      <c r="A1" s="135" t="str">
        <f>+B11&amp;" Center of Gravity Limits"</f>
        <v>N4846G Center of Gravity Limits</v>
      </c>
      <c r="B1" s="135"/>
      <c r="C1" s="135"/>
      <c r="D1" s="135"/>
      <c r="E1" s="135"/>
      <c r="F1" s="135"/>
      <c r="G1" s="11"/>
      <c r="H1" s="138" t="s">
        <v>49</v>
      </c>
      <c r="I1" s="138"/>
      <c r="J1" s="138"/>
      <c r="K1" s="138"/>
      <c r="L1" s="138"/>
      <c r="M1" s="138"/>
      <c r="N1" s="40"/>
    </row>
    <row r="2" spans="1:14" ht="13.5" thickBot="1">
      <c r="A2" s="41"/>
      <c r="B2" s="77" t="s">
        <v>50</v>
      </c>
      <c r="C2" s="43"/>
      <c r="D2" s="44"/>
      <c r="E2" s="45" t="s">
        <v>81</v>
      </c>
      <c r="F2" s="46"/>
      <c r="G2" s="11"/>
      <c r="H2" s="11"/>
      <c r="I2" s="11"/>
      <c r="J2" s="11"/>
      <c r="K2" s="11"/>
      <c r="L2" s="11"/>
      <c r="M2" s="11"/>
      <c r="N2" s="40"/>
    </row>
    <row r="3" spans="1:14" ht="13.5" thickBot="1">
      <c r="A3" s="3" t="s">
        <v>52</v>
      </c>
      <c r="B3" s="3" t="s">
        <v>53</v>
      </c>
      <c r="C3" s="3" t="s">
        <v>54</v>
      </c>
      <c r="D3" s="47" t="s">
        <v>52</v>
      </c>
      <c r="E3" s="47" t="s">
        <v>53</v>
      </c>
      <c r="F3" s="47" t="s">
        <v>54</v>
      </c>
      <c r="G3" s="11"/>
      <c r="H3" s="11"/>
      <c r="I3" s="11"/>
      <c r="J3" s="11"/>
      <c r="K3" s="11"/>
      <c r="L3" s="11"/>
      <c r="M3" s="11"/>
      <c r="N3" s="40"/>
    </row>
    <row r="4" spans="1:14" ht="13.5" thickBot="1">
      <c r="A4" s="3">
        <v>1500</v>
      </c>
      <c r="B4" s="34">
        <f>+C4/A4</f>
        <v>35</v>
      </c>
      <c r="C4" s="3">
        <v>52500</v>
      </c>
      <c r="D4" s="47">
        <v>1500</v>
      </c>
      <c r="E4" s="48">
        <f>+F4/D4</f>
        <v>35</v>
      </c>
      <c r="F4" s="47">
        <v>52500</v>
      </c>
      <c r="G4" s="11"/>
      <c r="H4" s="11"/>
      <c r="I4" s="11"/>
      <c r="J4" s="11"/>
      <c r="K4" s="11"/>
      <c r="L4" s="11"/>
      <c r="M4" s="11"/>
      <c r="N4" s="40"/>
    </row>
    <row r="5" spans="1:14" ht="13.5" thickBot="1">
      <c r="A5" s="3">
        <v>1950</v>
      </c>
      <c r="B5" s="34">
        <f>+C5/A5</f>
        <v>35</v>
      </c>
      <c r="C5" s="3">
        <v>68250</v>
      </c>
      <c r="D5" s="47">
        <v>1950</v>
      </c>
      <c r="E5" s="48">
        <f>+F5/D5</f>
        <v>35</v>
      </c>
      <c r="F5" s="47">
        <v>68250</v>
      </c>
      <c r="G5" s="11"/>
      <c r="H5" s="11"/>
      <c r="I5" s="11"/>
      <c r="J5" s="11"/>
      <c r="K5" s="11"/>
      <c r="L5" s="11"/>
      <c r="M5" s="11"/>
      <c r="N5" s="40"/>
    </row>
    <row r="6" spans="1:14" ht="13.5" thickBot="1">
      <c r="A6" s="3">
        <v>2300</v>
      </c>
      <c r="B6" s="34">
        <v>38.5</v>
      </c>
      <c r="C6" s="3">
        <v>98175</v>
      </c>
      <c r="D6" s="47">
        <v>2000</v>
      </c>
      <c r="E6" s="48">
        <v>35.5</v>
      </c>
      <c r="F6" s="47">
        <v>71000</v>
      </c>
      <c r="G6" s="11"/>
      <c r="H6" s="11"/>
      <c r="I6" s="11"/>
      <c r="J6" s="11"/>
      <c r="K6" s="11"/>
      <c r="L6" s="11"/>
      <c r="M6" s="11"/>
      <c r="N6" s="40"/>
    </row>
    <row r="7" spans="1:14" ht="13.5" thickBot="1">
      <c r="A7" s="3">
        <v>2300</v>
      </c>
      <c r="B7" s="34">
        <v>47.3</v>
      </c>
      <c r="C7" s="3">
        <v>120615</v>
      </c>
      <c r="D7" s="47">
        <v>2000</v>
      </c>
      <c r="E7" s="48">
        <v>40.5</v>
      </c>
      <c r="F7" s="47">
        <v>81000</v>
      </c>
      <c r="G7" s="11"/>
      <c r="H7" s="11"/>
      <c r="I7" s="11"/>
      <c r="J7" s="11"/>
      <c r="K7" s="11"/>
      <c r="L7" s="11"/>
      <c r="M7" s="11"/>
      <c r="N7" s="40"/>
    </row>
    <row r="8" spans="1:14" ht="13.5" thickBot="1">
      <c r="A8" s="3">
        <v>1500</v>
      </c>
      <c r="B8" s="34">
        <v>47.3</v>
      </c>
      <c r="C8" s="3">
        <v>70950</v>
      </c>
      <c r="D8" s="47">
        <v>1500</v>
      </c>
      <c r="E8" s="48">
        <f>+F8/D8</f>
        <v>40.466666666666669</v>
      </c>
      <c r="F8" s="47">
        <v>60700</v>
      </c>
      <c r="G8" s="11"/>
      <c r="H8" s="11"/>
      <c r="I8" s="11"/>
      <c r="J8" s="11"/>
      <c r="K8" s="11"/>
      <c r="L8" s="11"/>
      <c r="M8" s="11"/>
      <c r="N8" s="40"/>
    </row>
    <row r="9" spans="1:14">
      <c r="A9" s="11"/>
      <c r="B9" s="11"/>
      <c r="C9" s="49"/>
      <c r="D9" s="11"/>
      <c r="E9" s="11"/>
      <c r="F9" s="11"/>
      <c r="G9" s="11"/>
      <c r="H9" s="11"/>
      <c r="I9" s="11"/>
      <c r="J9" s="11"/>
      <c r="K9" s="11"/>
      <c r="L9" s="11"/>
      <c r="M9" s="11"/>
      <c r="N9" s="40"/>
    </row>
    <row r="10" spans="1:14" ht="13.5" thickBo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0"/>
    </row>
    <row r="11" spans="1:14" ht="13.5" thickBot="1">
      <c r="A11" s="27" t="s">
        <v>55</v>
      </c>
      <c r="B11" s="50" t="s">
        <v>6</v>
      </c>
      <c r="C11" s="51"/>
      <c r="D11" s="20" t="s">
        <v>26</v>
      </c>
      <c r="E11" s="52" t="s">
        <v>30</v>
      </c>
      <c r="F11" s="11"/>
      <c r="G11" s="11"/>
      <c r="H11" s="11"/>
      <c r="I11" s="11"/>
      <c r="J11" s="11"/>
      <c r="K11" s="11"/>
      <c r="L11" s="11"/>
      <c r="M11" s="11"/>
      <c r="N11" s="40"/>
    </row>
    <row r="12" spans="1:14" ht="26.25" thickBot="1">
      <c r="A12" s="110" t="s">
        <v>56</v>
      </c>
      <c r="B12" s="53" t="s">
        <v>12</v>
      </c>
      <c r="C12" s="7"/>
      <c r="D12" s="21" t="s">
        <v>57</v>
      </c>
      <c r="E12" s="54">
        <v>50</v>
      </c>
      <c r="F12" s="67" t="s">
        <v>58</v>
      </c>
      <c r="G12" s="11"/>
      <c r="H12" s="11"/>
      <c r="I12" s="11"/>
      <c r="J12" s="11"/>
      <c r="K12" s="11"/>
      <c r="L12" s="11"/>
      <c r="M12" s="11"/>
      <c r="N12" s="40"/>
    </row>
    <row r="13" spans="1:14" ht="39" thickBot="1">
      <c r="A13" s="110" t="s">
        <v>25</v>
      </c>
      <c r="B13" s="53">
        <v>1979</v>
      </c>
      <c r="C13" s="8"/>
      <c r="D13" s="115" t="s">
        <v>59</v>
      </c>
      <c r="E13" s="116" t="s">
        <v>19</v>
      </c>
      <c r="F13" s="111"/>
      <c r="G13" s="11"/>
      <c r="H13" s="11"/>
      <c r="I13" s="11"/>
      <c r="J13" s="11"/>
      <c r="K13" s="11"/>
      <c r="L13" s="11"/>
      <c r="M13" s="11"/>
      <c r="N13" s="40"/>
    </row>
    <row r="14" spans="1:14" ht="13.5" thickBot="1">
      <c r="A14" s="56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11"/>
      <c r="I14" s="11"/>
      <c r="J14" s="11"/>
      <c r="K14" s="11"/>
      <c r="L14" s="11"/>
      <c r="M14" s="11"/>
      <c r="N14" s="40"/>
    </row>
    <row r="15" spans="1:14" ht="13.5" thickBot="1">
      <c r="A15" s="58" t="s">
        <v>62</v>
      </c>
      <c r="B15" s="68">
        <v>39222</v>
      </c>
      <c r="C15" s="59">
        <v>1465.6</v>
      </c>
      <c r="D15" s="60">
        <f>E15/C15</f>
        <v>39.482812500000001</v>
      </c>
      <c r="E15" s="61">
        <v>57866.01</v>
      </c>
      <c r="F15" s="62"/>
      <c r="G15" s="11"/>
      <c r="H15" s="11"/>
      <c r="I15" s="11"/>
      <c r="J15" s="11"/>
      <c r="K15" s="11"/>
      <c r="L15" s="11"/>
      <c r="M15" s="11"/>
      <c r="N15" s="40"/>
    </row>
    <row r="16" spans="1:14" ht="14.25" thickTop="1" thickBot="1">
      <c r="A16" s="15" t="s">
        <v>84</v>
      </c>
      <c r="B16" s="29">
        <v>50</v>
      </c>
      <c r="C16" s="30">
        <f>+B16*6</f>
        <v>300</v>
      </c>
      <c r="D16" s="36">
        <v>47.9</v>
      </c>
      <c r="E16" s="10">
        <f t="shared" ref="E16:E22" si="0">+C16*D16</f>
        <v>14370</v>
      </c>
      <c r="F16" s="62"/>
      <c r="G16" s="11"/>
      <c r="H16" s="11"/>
      <c r="I16" s="11"/>
      <c r="J16" s="11"/>
      <c r="K16" s="11"/>
      <c r="L16" s="11"/>
      <c r="M16" s="11"/>
      <c r="N16" s="40"/>
    </row>
    <row r="17" spans="1:14" ht="14.25" thickTop="1" thickBot="1">
      <c r="A17" s="63" t="s">
        <v>64</v>
      </c>
      <c r="B17" s="28"/>
      <c r="C17" s="9">
        <v>170</v>
      </c>
      <c r="D17" s="36">
        <v>37.1</v>
      </c>
      <c r="E17" s="10">
        <f t="shared" si="0"/>
        <v>6307</v>
      </c>
      <c r="F17" s="62"/>
      <c r="G17" s="11"/>
      <c r="H17" s="11"/>
      <c r="I17" s="11"/>
      <c r="J17" s="11"/>
      <c r="K17" s="11"/>
      <c r="L17" s="11"/>
      <c r="M17" s="11"/>
      <c r="N17" s="40"/>
    </row>
    <row r="18" spans="1:14" ht="14.25" thickTop="1" thickBot="1">
      <c r="A18" s="63" t="s">
        <v>65</v>
      </c>
      <c r="B18" s="35"/>
      <c r="C18" s="9">
        <v>170</v>
      </c>
      <c r="D18" s="36">
        <v>37.1</v>
      </c>
      <c r="E18" s="10">
        <f t="shared" si="0"/>
        <v>6307</v>
      </c>
      <c r="F18" s="62"/>
      <c r="G18" s="11"/>
      <c r="H18" s="11"/>
      <c r="I18" s="11"/>
      <c r="J18" s="11"/>
      <c r="K18" s="11"/>
      <c r="L18" s="11"/>
      <c r="M18" s="11"/>
      <c r="N18" s="40"/>
    </row>
    <row r="19" spans="1:14" ht="14.25" thickTop="1" thickBot="1">
      <c r="A19" s="63" t="s">
        <v>66</v>
      </c>
      <c r="B19" s="35"/>
      <c r="C19" s="9">
        <v>140</v>
      </c>
      <c r="D19" s="36">
        <v>72.900000000000006</v>
      </c>
      <c r="E19" s="10">
        <f t="shared" si="0"/>
        <v>10206</v>
      </c>
      <c r="F19" s="62"/>
      <c r="G19" s="11"/>
      <c r="H19" s="11"/>
      <c r="I19" s="11"/>
      <c r="J19" s="11"/>
      <c r="K19" s="11"/>
      <c r="L19" s="11"/>
      <c r="M19" s="11"/>
      <c r="N19" s="40"/>
    </row>
    <row r="20" spans="1:14" ht="14.25" thickTop="1" thickBot="1">
      <c r="A20" s="63" t="s">
        <v>67</v>
      </c>
      <c r="B20" s="35"/>
      <c r="C20" s="9">
        <v>100</v>
      </c>
      <c r="D20" s="36">
        <v>72.900000000000006</v>
      </c>
      <c r="E20" s="10">
        <f t="shared" si="0"/>
        <v>7290.0000000000009</v>
      </c>
      <c r="F20" s="62"/>
      <c r="G20" s="11"/>
      <c r="H20" s="11"/>
      <c r="I20" s="11"/>
      <c r="J20" s="11"/>
      <c r="K20" s="11"/>
      <c r="L20" s="11"/>
      <c r="M20" s="11"/>
      <c r="N20" s="40"/>
    </row>
    <row r="21" spans="1:14" ht="14.25" thickTop="1" thickBot="1">
      <c r="A21" s="63" t="s">
        <v>93</v>
      </c>
      <c r="B21" s="35"/>
      <c r="C21" s="9">
        <v>20</v>
      </c>
      <c r="D21" s="36">
        <v>95.1</v>
      </c>
      <c r="E21" s="10">
        <f t="shared" si="0"/>
        <v>1902</v>
      </c>
      <c r="F21" s="62"/>
      <c r="G21" s="11"/>
      <c r="H21" s="11"/>
      <c r="I21" s="11"/>
      <c r="J21" s="11"/>
      <c r="K21" s="11"/>
      <c r="L21" s="11"/>
      <c r="M21" s="11"/>
      <c r="N21" s="40"/>
    </row>
    <row r="22" spans="1:14" ht="14.25" thickTop="1" thickBot="1">
      <c r="A22" s="15" t="s">
        <v>94</v>
      </c>
      <c r="B22" s="35"/>
      <c r="C22" s="9">
        <v>15</v>
      </c>
      <c r="D22" s="36">
        <v>125</v>
      </c>
      <c r="E22" s="10">
        <f t="shared" si="0"/>
        <v>1875</v>
      </c>
      <c r="F22" s="62"/>
      <c r="G22" s="11"/>
      <c r="H22" s="11"/>
      <c r="I22" s="11"/>
      <c r="J22" s="11"/>
      <c r="K22" s="11"/>
      <c r="L22" s="11"/>
      <c r="M22" s="11"/>
      <c r="N22" s="40"/>
    </row>
    <row r="23" spans="1:14" ht="13.5" thickBot="1">
      <c r="A23" s="26"/>
      <c r="B23" s="64"/>
      <c r="C23" s="23" t="s">
        <v>52</v>
      </c>
      <c r="D23" s="4" t="s">
        <v>53</v>
      </c>
      <c r="E23" s="4" t="s">
        <v>54</v>
      </c>
      <c r="F23" s="11"/>
      <c r="G23" s="11"/>
      <c r="H23" s="11"/>
      <c r="I23" s="11"/>
      <c r="J23" s="11"/>
      <c r="K23" s="11"/>
      <c r="L23" s="11"/>
      <c r="M23" s="11"/>
      <c r="N23" s="40"/>
    </row>
    <row r="24" spans="1:14" ht="13.5" thickBot="1">
      <c r="A24" s="15" t="s">
        <v>69</v>
      </c>
      <c r="B24" s="35"/>
      <c r="C24" s="24">
        <f>SUM(C15:C22)</f>
        <v>2380.6</v>
      </c>
      <c r="D24" s="36">
        <f>+E24/C24</f>
        <v>44.578261782743851</v>
      </c>
      <c r="E24" s="10">
        <f>SUM(E15:E22)</f>
        <v>106123.01000000001</v>
      </c>
      <c r="F24" s="62"/>
      <c r="G24" s="11"/>
      <c r="H24" s="11"/>
      <c r="I24" s="11"/>
      <c r="J24" s="11"/>
      <c r="K24" s="11"/>
      <c r="L24" s="11"/>
      <c r="M24" s="11"/>
      <c r="N24" s="40"/>
    </row>
    <row r="25" spans="1:14" ht="13.5" thickBot="1">
      <c r="A25" s="15" t="s">
        <v>71</v>
      </c>
      <c r="B25" s="35"/>
      <c r="C25" s="24">
        <f>SUM(C15:C22)-ROUNDUP((1.7*6),0)</f>
        <v>2369.6</v>
      </c>
      <c r="D25" s="36">
        <f>+E25/C25</f>
        <v>44.579013335584072</v>
      </c>
      <c r="E25" s="10">
        <f>SUM(E17:E22)+E15+((+B16-1.7)*6*D16)</f>
        <v>105634.43000000001</v>
      </c>
      <c r="F25" s="62"/>
      <c r="G25" s="11"/>
      <c r="H25" s="11"/>
      <c r="I25" s="11"/>
      <c r="J25" s="11"/>
      <c r="K25" s="11"/>
      <c r="L25" s="11"/>
      <c r="M25" s="11"/>
      <c r="N25" s="40"/>
    </row>
    <row r="26" spans="1:14" ht="13.5" thickBot="1">
      <c r="A26" s="15" t="s">
        <v>72</v>
      </c>
      <c r="B26" s="35"/>
      <c r="C26" s="24">
        <f>SUM(C17:C22)+C15</f>
        <v>2080.6</v>
      </c>
      <c r="D26" s="36">
        <f>+E26/C26</f>
        <v>44.09930308564838</v>
      </c>
      <c r="E26" s="10">
        <f>SUM(E17:E22)+E15</f>
        <v>91753.010000000009</v>
      </c>
      <c r="F26" s="62"/>
      <c r="G26" s="11"/>
      <c r="H26" s="11"/>
      <c r="I26" s="11"/>
      <c r="J26" s="11"/>
      <c r="K26" s="11"/>
      <c r="L26" s="11"/>
      <c r="M26" s="11"/>
      <c r="N26" s="40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</row>
    <row r="28" spans="1:14">
      <c r="A28" s="11" t="s">
        <v>108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</row>
    <row r="29" spans="1:14">
      <c r="A29" s="11" t="s">
        <v>122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</row>
    <row r="30" spans="1:14">
      <c r="A30" s="11" t="s">
        <v>105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</row>
    <row r="31" spans="1:14">
      <c r="A31" s="11" t="s">
        <v>106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</row>
    <row r="32" spans="1:14">
      <c r="A32" s="11" t="s">
        <v>107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</row>
    <row r="33" spans="1:14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</row>
    <row r="34" spans="1:14">
      <c r="A34" s="11" t="s">
        <v>101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40"/>
    </row>
    <row r="35" spans="1:14" ht="13.5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3.5" thickTop="1"/>
  </sheetData>
  <mergeCells count="2">
    <mergeCell ref="A1:F1"/>
    <mergeCell ref="H1:M1"/>
  </mergeCells>
  <conditionalFormatting sqref="B16">
    <cfRule type="cellIs" dxfId="0" priority="1" stopIfTrue="1" operator="greaterThan">
      <formula>$E$12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workbookViewId="0">
      <selection activeCell="H2" sqref="H2"/>
    </sheetView>
  </sheetViews>
  <sheetFormatPr defaultRowHeight="12.75"/>
  <cols>
    <col min="1" max="1" width="12.28515625" customWidth="1"/>
    <col min="2" max="2" width="11.42578125" bestFit="1" customWidth="1"/>
  </cols>
  <sheetData>
    <row r="1" spans="1:15" ht="13.5" thickBot="1">
      <c r="A1" s="138" t="str">
        <f>+B11&amp;" Center of Gravity Limits"</f>
        <v>N63532 Center of Gravity Limits</v>
      </c>
      <c r="B1" s="138"/>
      <c r="C1" s="138"/>
      <c r="D1" s="138"/>
      <c r="E1" s="138"/>
      <c r="F1" s="138"/>
      <c r="G1" s="11"/>
      <c r="H1" s="138" t="s">
        <v>49</v>
      </c>
      <c r="I1" s="138"/>
      <c r="J1" s="138"/>
      <c r="K1" s="138"/>
      <c r="L1" s="138"/>
      <c r="M1" s="138"/>
      <c r="N1" s="40"/>
      <c r="O1" s="6"/>
    </row>
    <row r="2" spans="1:15" ht="13.5" thickBot="1">
      <c r="A2" s="103"/>
      <c r="B2" s="104" t="s">
        <v>109</v>
      </c>
      <c r="C2" s="105"/>
      <c r="D2" s="99"/>
      <c r="E2" s="100" t="s">
        <v>110</v>
      </c>
      <c r="F2" s="101"/>
      <c r="G2" s="11"/>
      <c r="H2" s="11"/>
      <c r="I2" s="11"/>
      <c r="J2" s="11"/>
      <c r="K2" s="11"/>
      <c r="L2" s="11"/>
      <c r="M2" s="11"/>
      <c r="N2" s="40"/>
      <c r="O2" s="6"/>
    </row>
    <row r="3" spans="1:15" ht="13.5" thickBot="1">
      <c r="A3" s="3" t="s">
        <v>52</v>
      </c>
      <c r="B3" s="3" t="s">
        <v>53</v>
      </c>
      <c r="C3" s="3" t="s">
        <v>54</v>
      </c>
      <c r="D3" s="101" t="s">
        <v>52</v>
      </c>
      <c r="E3" s="101" t="s">
        <v>54</v>
      </c>
      <c r="F3" s="101" t="s">
        <v>53</v>
      </c>
      <c r="G3" s="11"/>
      <c r="H3" s="69"/>
      <c r="I3" s="69"/>
      <c r="J3" s="139"/>
      <c r="K3" s="139"/>
      <c r="L3" s="69"/>
      <c r="M3" s="69"/>
      <c r="N3" s="40"/>
      <c r="O3" s="6"/>
    </row>
    <row r="4" spans="1:15" ht="13.5" thickBot="1">
      <c r="A4" s="3"/>
      <c r="B4" s="34"/>
      <c r="C4" s="3"/>
      <c r="D4" s="101">
        <v>1100</v>
      </c>
      <c r="E4" s="102">
        <f t="shared" ref="E4:E9" si="0">F4/D4</f>
        <v>31.454545454545453</v>
      </c>
      <c r="F4" s="101">
        <v>34600</v>
      </c>
      <c r="G4" s="11"/>
      <c r="H4" s="69"/>
      <c r="I4" s="69"/>
      <c r="J4" s="69"/>
      <c r="K4" s="69"/>
      <c r="L4" s="69"/>
      <c r="M4" s="69"/>
      <c r="N4" s="40"/>
      <c r="O4" s="6"/>
    </row>
    <row r="5" spans="1:15" ht="13.5" thickBot="1">
      <c r="A5" s="3"/>
      <c r="B5" s="34"/>
      <c r="C5" s="3"/>
      <c r="D5" s="101">
        <v>1300</v>
      </c>
      <c r="E5" s="102">
        <f t="shared" si="0"/>
        <v>31.53846153846154</v>
      </c>
      <c r="F5" s="101">
        <v>41000</v>
      </c>
      <c r="G5" s="11"/>
      <c r="H5" s="69"/>
      <c r="I5" s="69"/>
      <c r="J5" s="69"/>
      <c r="K5" s="69"/>
      <c r="L5" s="69"/>
      <c r="M5" s="69"/>
      <c r="N5" s="40"/>
      <c r="O5" s="6"/>
    </row>
    <row r="6" spans="1:15" ht="13.5" thickBot="1">
      <c r="A6" s="3"/>
      <c r="B6" s="34"/>
      <c r="C6" s="3"/>
      <c r="D6" s="101">
        <v>1600</v>
      </c>
      <c r="E6" s="102">
        <f t="shared" si="0"/>
        <v>32.8125</v>
      </c>
      <c r="F6" s="101">
        <v>52500</v>
      </c>
      <c r="G6" s="11"/>
      <c r="H6" s="69"/>
      <c r="I6" s="69"/>
      <c r="J6" s="69"/>
      <c r="K6" s="69"/>
      <c r="L6" s="69"/>
      <c r="M6" s="69"/>
      <c r="N6" s="40"/>
      <c r="O6" s="6"/>
    </row>
    <row r="7" spans="1:15" ht="13.5" thickBot="1">
      <c r="A7" s="3"/>
      <c r="B7" s="34"/>
      <c r="C7" s="3"/>
      <c r="D7" s="101">
        <v>1600</v>
      </c>
      <c r="E7" s="102">
        <f t="shared" si="0"/>
        <v>37.5</v>
      </c>
      <c r="F7" s="101">
        <v>60000</v>
      </c>
      <c r="G7" s="11"/>
      <c r="H7" s="69"/>
      <c r="I7" s="69"/>
      <c r="J7" s="69"/>
      <c r="K7" s="69"/>
      <c r="L7" s="69"/>
      <c r="M7" s="69"/>
      <c r="N7" s="40"/>
      <c r="O7" s="6"/>
    </row>
    <row r="8" spans="1:15" ht="13.5" thickBot="1">
      <c r="A8" s="3"/>
      <c r="B8" s="34"/>
      <c r="C8" s="3"/>
      <c r="D8" s="101">
        <v>1100</v>
      </c>
      <c r="E8" s="102">
        <f t="shared" si="0"/>
        <v>37.454545454545453</v>
      </c>
      <c r="F8" s="101">
        <v>41200</v>
      </c>
      <c r="G8" s="11"/>
      <c r="H8" s="69"/>
      <c r="I8" s="69"/>
      <c r="J8" s="69"/>
      <c r="K8" s="69"/>
      <c r="L8" s="69"/>
      <c r="M8" s="69"/>
      <c r="N8" s="40"/>
      <c r="O8" s="6"/>
    </row>
    <row r="9" spans="1:15" ht="13.5" thickBot="1">
      <c r="A9" s="3"/>
      <c r="B9" s="34"/>
      <c r="C9" s="3"/>
      <c r="D9" s="101">
        <v>1100</v>
      </c>
      <c r="E9" s="102">
        <f t="shared" si="0"/>
        <v>31.454545454545453</v>
      </c>
      <c r="F9" s="101">
        <v>34600</v>
      </c>
      <c r="G9" s="11"/>
      <c r="H9" s="69"/>
      <c r="I9" s="69"/>
      <c r="J9" s="69"/>
      <c r="K9" s="69"/>
      <c r="L9" s="69"/>
      <c r="M9" s="69"/>
      <c r="N9" s="40"/>
      <c r="O9" s="6"/>
    </row>
    <row r="10" spans="1:15" ht="13.5" thickBot="1">
      <c r="A10" s="5"/>
      <c r="B10" s="5"/>
      <c r="C10" s="5"/>
      <c r="D10" s="5"/>
      <c r="E10" s="5"/>
      <c r="F10" s="5"/>
      <c r="G10" s="11"/>
      <c r="H10" s="69"/>
      <c r="I10" s="69"/>
      <c r="J10" s="69"/>
      <c r="K10" s="69"/>
      <c r="L10" s="69"/>
      <c r="M10" s="69"/>
      <c r="N10" s="40"/>
      <c r="O10" s="6"/>
    </row>
    <row r="11" spans="1:15" ht="13.5" thickBot="1">
      <c r="A11" s="19" t="s">
        <v>55</v>
      </c>
      <c r="B11" s="52" t="s">
        <v>7</v>
      </c>
      <c r="C11" s="51"/>
      <c r="D11" s="70" t="s">
        <v>26</v>
      </c>
      <c r="E11" s="91" t="s">
        <v>111</v>
      </c>
      <c r="F11" s="11"/>
      <c r="G11" s="11"/>
      <c r="H11" s="69"/>
      <c r="I11" s="69"/>
      <c r="J11" s="69"/>
      <c r="K11" s="69"/>
      <c r="L11" s="69"/>
      <c r="M11" s="69"/>
      <c r="N11" s="40"/>
      <c r="O11" s="6"/>
    </row>
    <row r="12" spans="1:15" ht="26.25" thickBot="1">
      <c r="A12" s="108" t="s">
        <v>56</v>
      </c>
      <c r="B12" s="71" t="s">
        <v>13</v>
      </c>
      <c r="C12" s="7"/>
      <c r="D12" s="72" t="s">
        <v>57</v>
      </c>
      <c r="E12" s="54">
        <v>22.5</v>
      </c>
      <c r="F12" s="55" t="s">
        <v>58</v>
      </c>
      <c r="G12" s="11"/>
      <c r="H12" s="69"/>
      <c r="I12" s="69"/>
      <c r="J12" s="69"/>
      <c r="K12" s="69"/>
      <c r="L12" s="69"/>
      <c r="M12" s="69"/>
      <c r="N12" s="40"/>
      <c r="O12" s="6"/>
    </row>
    <row r="13" spans="1:15" ht="26.25" thickBot="1">
      <c r="A13" s="108" t="s">
        <v>25</v>
      </c>
      <c r="B13" s="71">
        <v>1975</v>
      </c>
      <c r="C13" s="8"/>
      <c r="D13" s="73" t="s">
        <v>59</v>
      </c>
      <c r="E13" s="116" t="s">
        <v>112</v>
      </c>
      <c r="F13" s="111"/>
      <c r="G13" s="11"/>
      <c r="H13" s="69"/>
      <c r="I13" s="69"/>
      <c r="J13" s="69"/>
      <c r="K13" s="69"/>
      <c r="L13" s="69"/>
      <c r="M13" s="69"/>
      <c r="N13" s="40"/>
      <c r="O13" s="6"/>
    </row>
    <row r="14" spans="1:15" ht="13.5" thickBot="1">
      <c r="A14" s="51"/>
      <c r="B14" s="57" t="s">
        <v>61</v>
      </c>
      <c r="C14" s="4" t="s">
        <v>52</v>
      </c>
      <c r="D14" s="4" t="s">
        <v>53</v>
      </c>
      <c r="E14" s="4" t="s">
        <v>54</v>
      </c>
      <c r="F14" s="131"/>
      <c r="G14" s="11"/>
      <c r="H14" s="69"/>
      <c r="I14" s="69"/>
      <c r="J14" s="69"/>
      <c r="K14" s="69"/>
      <c r="L14" s="69"/>
      <c r="M14" s="69"/>
      <c r="N14" s="40"/>
      <c r="O14" s="6"/>
    </row>
    <row r="15" spans="1:15" ht="13.5" thickBot="1">
      <c r="A15" s="18" t="s">
        <v>83</v>
      </c>
      <c r="B15" s="109">
        <v>43280</v>
      </c>
      <c r="C15" s="59">
        <v>1134.55</v>
      </c>
      <c r="D15" s="25">
        <v>32.4</v>
      </c>
      <c r="E15" s="2">
        <f>C15*D15</f>
        <v>36759.42</v>
      </c>
      <c r="F15" s="62"/>
      <c r="G15" s="11"/>
      <c r="H15" s="69"/>
      <c r="I15" s="69"/>
      <c r="J15" s="69"/>
      <c r="K15" s="69"/>
      <c r="L15" s="69"/>
      <c r="M15" s="69"/>
      <c r="N15" s="40"/>
      <c r="O15" s="6"/>
    </row>
    <row r="16" spans="1:15" ht="14.25" thickTop="1" thickBot="1">
      <c r="A16" s="15" t="s">
        <v>84</v>
      </c>
      <c r="B16" s="38">
        <v>22.5</v>
      </c>
      <c r="C16" s="39">
        <f>+B16*6</f>
        <v>135</v>
      </c>
      <c r="D16" s="36">
        <v>42.222000000000001</v>
      </c>
      <c r="E16" s="10">
        <f t="shared" ref="E16:E21" si="1">D16*C16</f>
        <v>5699.97</v>
      </c>
      <c r="F16" s="62"/>
      <c r="G16" s="11"/>
      <c r="H16" s="69"/>
      <c r="I16" s="69"/>
      <c r="J16" s="69"/>
      <c r="K16" s="69"/>
      <c r="L16" s="69"/>
      <c r="M16" s="69"/>
      <c r="N16" s="40"/>
      <c r="O16" s="6"/>
    </row>
    <row r="17" spans="1:15" ht="14.25" thickTop="1" thickBot="1">
      <c r="A17" s="15" t="s">
        <v>113</v>
      </c>
      <c r="B17" s="33"/>
      <c r="C17" s="37">
        <v>11</v>
      </c>
      <c r="D17" s="36">
        <v>-9.0909999999999993</v>
      </c>
      <c r="E17" s="10">
        <f t="shared" si="1"/>
        <v>-100.00099999999999</v>
      </c>
      <c r="F17" s="62"/>
      <c r="G17" s="11"/>
      <c r="H17" s="69"/>
      <c r="I17" s="69"/>
      <c r="J17" s="69"/>
      <c r="K17" s="69"/>
      <c r="L17" s="69"/>
      <c r="M17" s="69"/>
      <c r="N17" s="40"/>
      <c r="O17" s="6"/>
    </row>
    <row r="18" spans="1:15" ht="14.25" thickTop="1" thickBot="1">
      <c r="A18" s="18" t="s">
        <v>64</v>
      </c>
      <c r="B18" s="28"/>
      <c r="C18" s="9">
        <v>170</v>
      </c>
      <c r="D18" s="36">
        <v>39.118000000000002</v>
      </c>
      <c r="E18" s="10">
        <f t="shared" si="1"/>
        <v>6650.06</v>
      </c>
      <c r="F18" s="62"/>
      <c r="G18" s="11"/>
      <c r="H18" s="69"/>
      <c r="I18" s="69"/>
      <c r="J18" s="69"/>
      <c r="K18" s="69"/>
      <c r="L18" s="69"/>
      <c r="M18" s="69"/>
      <c r="N18" s="40"/>
      <c r="O18" s="6"/>
    </row>
    <row r="19" spans="1:15" ht="14.25" thickTop="1" thickBot="1">
      <c r="A19" s="18" t="s">
        <v>65</v>
      </c>
      <c r="B19" s="35"/>
      <c r="C19" s="9">
        <v>170</v>
      </c>
      <c r="D19" s="36">
        <v>39.118000000000002</v>
      </c>
      <c r="E19" s="10">
        <f t="shared" si="1"/>
        <v>6650.06</v>
      </c>
      <c r="F19" s="62"/>
      <c r="G19" s="11"/>
      <c r="H19" s="69"/>
      <c r="I19" s="69"/>
      <c r="J19" s="69"/>
      <c r="K19" s="69"/>
      <c r="L19" s="69"/>
      <c r="M19" s="69"/>
      <c r="N19" s="40"/>
      <c r="O19" s="6"/>
    </row>
    <row r="20" spans="1:15" ht="14.25" thickTop="1" thickBot="1">
      <c r="A20" s="18" t="s">
        <v>114</v>
      </c>
      <c r="B20" s="35"/>
      <c r="C20" s="9">
        <v>0</v>
      </c>
      <c r="D20" s="36">
        <v>64.444000000000003</v>
      </c>
      <c r="E20" s="10">
        <f t="shared" si="1"/>
        <v>0</v>
      </c>
      <c r="F20" s="62"/>
      <c r="G20" s="11"/>
      <c r="H20" s="69"/>
      <c r="I20" s="69"/>
      <c r="J20" s="69"/>
      <c r="K20" s="69"/>
      <c r="L20" s="69"/>
      <c r="M20" s="69"/>
      <c r="N20" s="40"/>
      <c r="O20" s="6"/>
    </row>
    <row r="21" spans="1:15" ht="14.25" thickTop="1" thickBot="1">
      <c r="A21" s="18" t="s">
        <v>115</v>
      </c>
      <c r="B21" s="35"/>
      <c r="C21" s="9">
        <v>0</v>
      </c>
      <c r="D21" s="36">
        <v>85.713999999999999</v>
      </c>
      <c r="E21" s="10">
        <f t="shared" si="1"/>
        <v>0</v>
      </c>
      <c r="F21" s="62"/>
      <c r="G21" s="11"/>
      <c r="H21" s="69"/>
      <c r="I21" s="69"/>
      <c r="J21" s="69"/>
      <c r="K21" s="69"/>
      <c r="L21" s="69"/>
      <c r="M21" s="69"/>
      <c r="N21" s="40"/>
      <c r="O21" s="6"/>
    </row>
    <row r="22" spans="1:15" ht="13.5" thickBot="1">
      <c r="A22" s="74"/>
      <c r="B22" s="75"/>
      <c r="C22" s="22" t="s">
        <v>52</v>
      </c>
      <c r="D22" s="4" t="s">
        <v>53</v>
      </c>
      <c r="E22" s="4" t="s">
        <v>54</v>
      </c>
      <c r="F22" s="11"/>
      <c r="G22" s="11"/>
      <c r="H22" s="69"/>
      <c r="I22" s="69"/>
      <c r="J22" s="69"/>
      <c r="K22" s="69"/>
      <c r="L22" s="69"/>
      <c r="M22" s="69"/>
      <c r="N22" s="40"/>
      <c r="O22" s="6"/>
    </row>
    <row r="23" spans="1:15" ht="13.5" thickBot="1">
      <c r="A23" s="18" t="s">
        <v>69</v>
      </c>
      <c r="B23" s="76"/>
      <c r="C23" s="24">
        <f>SUM(C15:C21)</f>
        <v>1620.55</v>
      </c>
      <c r="D23" s="36">
        <f>+E23/C23</f>
        <v>34.346060905248216</v>
      </c>
      <c r="E23" s="10">
        <f>SUM(E15:E21)</f>
        <v>55659.508999999998</v>
      </c>
      <c r="F23" s="62"/>
      <c r="G23" s="11"/>
      <c r="H23" s="11"/>
      <c r="I23" s="11"/>
      <c r="J23" s="11"/>
      <c r="K23" s="11"/>
      <c r="L23" s="11"/>
      <c r="M23" s="11"/>
      <c r="N23" s="40"/>
      <c r="O23" s="6"/>
    </row>
    <row r="24" spans="1:15" ht="13.5" thickBot="1">
      <c r="A24" s="18" t="s">
        <v>71</v>
      </c>
      <c r="B24" s="76"/>
      <c r="C24" s="24">
        <f>SUM(C15:C21)-ROUNDUP((1.7*6),0)</f>
        <v>1609.55</v>
      </c>
      <c r="D24" s="36">
        <f>+E24/C24</f>
        <v>34.313220838122454</v>
      </c>
      <c r="E24" s="10">
        <f>SUM(E17:E21)+E15+((+B16-1.7)*6*D16)</f>
        <v>55228.844599999997</v>
      </c>
      <c r="F24" s="62"/>
      <c r="G24" s="11"/>
      <c r="H24" s="11"/>
      <c r="I24" s="11"/>
      <c r="J24" s="11"/>
      <c r="K24" s="11"/>
      <c r="L24" s="11"/>
      <c r="M24" s="11"/>
      <c r="N24" s="40"/>
      <c r="O24" s="6"/>
    </row>
    <row r="25" spans="1:15" ht="13.5" thickBot="1">
      <c r="A25" s="18" t="s">
        <v>72</v>
      </c>
      <c r="B25" s="76"/>
      <c r="C25" s="24">
        <f>SUM(C17:C21)+C15</f>
        <v>1485.55</v>
      </c>
      <c r="D25" s="36">
        <f>+E25/C25</f>
        <v>33.630331527043857</v>
      </c>
      <c r="E25" s="10">
        <f>SUM(E17:E21)+E15</f>
        <v>49959.538999999997</v>
      </c>
      <c r="F25" s="62"/>
      <c r="G25" s="11"/>
      <c r="H25" s="11"/>
      <c r="I25" s="11"/>
      <c r="J25" s="11"/>
      <c r="K25" s="11"/>
      <c r="L25" s="11"/>
      <c r="M25" s="11"/>
      <c r="N25" s="40"/>
      <c r="O25" s="6"/>
    </row>
    <row r="26" spans="1: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40"/>
      <c r="O26" s="6"/>
    </row>
    <row r="27" spans="1: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40"/>
      <c r="O27" s="6"/>
    </row>
    <row r="28" spans="1:15">
      <c r="A28" s="11" t="s">
        <v>116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40"/>
      <c r="O28" s="6"/>
    </row>
    <row r="29" spans="1:15">
      <c r="A29" s="11" t="s">
        <v>117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0"/>
      <c r="O29" s="6"/>
    </row>
    <row r="30" spans="1:15">
      <c r="A30" s="11" t="s">
        <v>118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0"/>
      <c r="O30" s="6"/>
    </row>
    <row r="31" spans="1:15">
      <c r="A31" s="11" t="s">
        <v>119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0"/>
      <c r="O31" s="6"/>
    </row>
    <row r="32" spans="1:15">
      <c r="A32" s="11" t="s">
        <v>100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0"/>
      <c r="O32" s="6"/>
    </row>
    <row r="33" spans="1:15">
      <c r="A33" s="11" t="s">
        <v>120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0"/>
      <c r="O33" s="6"/>
    </row>
    <row r="34" spans="1:15" ht="13.5" thickBo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  <c r="O34" s="6"/>
    </row>
    <row r="35" spans="1:15" ht="13.5" thickTop="1">
      <c r="A35" s="6"/>
      <c r="B35" s="6"/>
      <c r="C35" s="6"/>
      <c r="D35" s="6"/>
      <c r="E35" s="6"/>
      <c r="F35" s="6" t="s">
        <v>48</v>
      </c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mergeCells count="3">
    <mergeCell ref="A1:F1"/>
    <mergeCell ref="J3:K3"/>
    <mergeCell ref="H1:M1"/>
  </mergeCells>
  <pageMargins left="0.7" right="0.7" top="0.75" bottom="0.75" header="0.3" footer="0.3"/>
  <pageSetup orientation="portrait" r:id="rId1"/>
  <ignoredErrors>
    <ignoredError sqref="D23 D25" formula="1"/>
    <ignoredError sqref="C23:C24 C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Wgt_N_Wind_Data</vt:lpstr>
      <vt:lpstr>N780FM</vt:lpstr>
      <vt:lpstr>N31669</vt:lpstr>
      <vt:lpstr>N2846N</vt:lpstr>
      <vt:lpstr>N3037E</vt:lpstr>
      <vt:lpstr>N782FM</vt:lpstr>
      <vt:lpstr>N783FM</vt:lpstr>
      <vt:lpstr>N4846G</vt:lpstr>
      <vt:lpstr>N63532</vt:lpstr>
      <vt:lpstr>N6690S</vt:lpstr>
      <vt:lpstr>N2846N!Print_Area</vt:lpstr>
      <vt:lpstr>N3037E!Print_Area</vt:lpstr>
      <vt:lpstr>'N31669'!Print_Area</vt:lpstr>
      <vt:lpstr>Wgt_N_Wind_Data!Print_Area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Manion</dc:creator>
  <cp:keywords/>
  <dc:description/>
  <cp:lastModifiedBy>PHILIP IRVING</cp:lastModifiedBy>
  <cp:revision>1</cp:revision>
  <dcterms:created xsi:type="dcterms:W3CDTF">2005-04-20T14:18:12Z</dcterms:created>
  <dcterms:modified xsi:type="dcterms:W3CDTF">2025-03-12T10:22:25Z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SHFileName">
    <vt:lpwstr>PROPERTY_CHUNKS=1</vt:lpwstr>
  </property>
  <property fmtid="{D5CDD505-2E9C-101B-9397-08002B2CF9AE}" pid="3" name="QSHFileName[1]">
    <vt:lpwstr>C:\Palm\ManionD\qsheet\Personal\W&amp;B Calc.qsh</vt:lpwstr>
  </property>
</Properties>
</file>